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2018\ADMINISTRATIVA Y FINANCIERA\2017\PRESUPUESTO\"/>
    </mc:Choice>
  </mc:AlternateContent>
  <bookViews>
    <workbookView xWindow="480" yWindow="255" windowWidth="15600" windowHeight="7620"/>
  </bookViews>
  <sheets>
    <sheet name="DICIEMBRE" sheetId="15" r:id="rId1"/>
    <sheet name="NOVIEMBRE" sheetId="14" r:id="rId2"/>
    <sheet name="OCTUBRE" sheetId="12" r:id="rId3"/>
    <sheet name="SEPTIEMBRE" sheetId="11" r:id="rId4"/>
    <sheet name="AGOSTO" sheetId="9" r:id="rId5"/>
    <sheet name="JULIO" sheetId="8" r:id="rId6"/>
    <sheet name="JUNIO" sheetId="7" r:id="rId7"/>
    <sheet name="MAYO" sheetId="6" r:id="rId8"/>
    <sheet name="ABRIL" sheetId="5" r:id="rId9"/>
    <sheet name="MARZO" sheetId="4" r:id="rId10"/>
    <sheet name="FEBRERO" sheetId="3" r:id="rId11"/>
    <sheet name="ENERO" sheetId="2" r:id="rId12"/>
  </sheets>
  <calcPr calcId="162913"/>
</workbook>
</file>

<file path=xl/calcChain.xml><?xml version="1.0" encoding="utf-8"?>
<calcChain xmlns="http://schemas.openxmlformats.org/spreadsheetml/2006/main">
  <c r="K26" i="15" l="1"/>
  <c r="K25" i="15"/>
  <c r="G26" i="15"/>
  <c r="G25" i="15"/>
  <c r="G58" i="15" l="1"/>
  <c r="G33" i="15"/>
  <c r="K33" i="15" l="1"/>
  <c r="K34" i="15"/>
  <c r="G76" i="14" l="1"/>
  <c r="G35" i="15"/>
  <c r="H16" i="15" l="1"/>
  <c r="Q71" i="14" l="1"/>
  <c r="H66" i="15"/>
  <c r="H63" i="15"/>
  <c r="H62" i="15"/>
  <c r="J59" i="15"/>
  <c r="J60" i="15"/>
  <c r="J61" i="15"/>
  <c r="J62" i="15"/>
  <c r="J63" i="15"/>
  <c r="J64" i="15"/>
  <c r="J65" i="15"/>
  <c r="J66" i="15"/>
  <c r="J58" i="15"/>
  <c r="J54" i="15"/>
  <c r="J55" i="15"/>
  <c r="J56" i="15"/>
  <c r="J53" i="15"/>
  <c r="K50" i="15"/>
  <c r="K40" i="15"/>
  <c r="H40" i="15"/>
  <c r="G39" i="15"/>
  <c r="H37" i="15"/>
  <c r="J46" i="15"/>
  <c r="J47" i="15"/>
  <c r="J48" i="15"/>
  <c r="J49" i="15"/>
  <c r="J50" i="15"/>
  <c r="J51" i="15"/>
  <c r="J42" i="15"/>
  <c r="J43" i="15"/>
  <c r="J44" i="15"/>
  <c r="J45" i="15"/>
  <c r="J34" i="15"/>
  <c r="J35" i="15"/>
  <c r="J36" i="15"/>
  <c r="J37" i="15"/>
  <c r="J38" i="15"/>
  <c r="J39" i="15"/>
  <c r="J40" i="15"/>
  <c r="J41" i="15"/>
  <c r="J33" i="15"/>
  <c r="H28" i="15"/>
  <c r="J21" i="15"/>
  <c r="J20" i="15"/>
  <c r="H17" i="15"/>
  <c r="H12" i="15" l="1"/>
  <c r="H11" i="15" l="1"/>
  <c r="J10" i="15"/>
  <c r="J11" i="15"/>
  <c r="J12" i="15"/>
  <c r="N12" i="15" s="1"/>
  <c r="J13" i="15"/>
  <c r="L13" i="15" s="1"/>
  <c r="J14" i="15"/>
  <c r="J15" i="15"/>
  <c r="J16" i="15"/>
  <c r="J17" i="15"/>
  <c r="N17" i="15" s="1"/>
  <c r="J18" i="15"/>
  <c r="J9" i="15"/>
  <c r="H9" i="15"/>
  <c r="E71" i="15"/>
  <c r="J70" i="15"/>
  <c r="N70" i="15" s="1"/>
  <c r="N68" i="15" s="1"/>
  <c r="I70" i="15"/>
  <c r="N69" i="15"/>
  <c r="I69" i="15"/>
  <c r="O69" i="15" s="1"/>
  <c r="M68" i="15"/>
  <c r="K68" i="15"/>
  <c r="I68" i="15"/>
  <c r="H68" i="15"/>
  <c r="G68" i="15"/>
  <c r="F68" i="15"/>
  <c r="D68" i="15"/>
  <c r="C68" i="15"/>
  <c r="L67" i="15"/>
  <c r="J67" i="15"/>
  <c r="N67" i="15" s="1"/>
  <c r="I67" i="15"/>
  <c r="O67" i="15" s="1"/>
  <c r="N66" i="15"/>
  <c r="I66" i="15"/>
  <c r="N65" i="15"/>
  <c r="L65" i="15"/>
  <c r="M65" i="15" s="1"/>
  <c r="I65" i="15"/>
  <c r="N64" i="15"/>
  <c r="L64" i="15"/>
  <c r="I64" i="15"/>
  <c r="L63" i="15"/>
  <c r="N63" i="15"/>
  <c r="I63" i="15"/>
  <c r="N62" i="15"/>
  <c r="I62" i="15"/>
  <c r="N61" i="15"/>
  <c r="L61" i="15"/>
  <c r="I61" i="15"/>
  <c r="L60" i="15"/>
  <c r="N60" i="15"/>
  <c r="I60" i="15"/>
  <c r="O60" i="15" s="1"/>
  <c r="P60" i="15" s="1"/>
  <c r="N59" i="15"/>
  <c r="L59" i="15"/>
  <c r="I59" i="15"/>
  <c r="L58" i="15"/>
  <c r="N58" i="15"/>
  <c r="I58" i="15"/>
  <c r="K57" i="15"/>
  <c r="H57" i="15"/>
  <c r="G57" i="15"/>
  <c r="F57" i="15"/>
  <c r="E57" i="15"/>
  <c r="D57" i="15"/>
  <c r="C57" i="15"/>
  <c r="C71" i="15" s="1"/>
  <c r="N56" i="15"/>
  <c r="L56" i="15"/>
  <c r="I56" i="15"/>
  <c r="M55" i="15"/>
  <c r="L55" i="15"/>
  <c r="N55" i="15"/>
  <c r="I55" i="15"/>
  <c r="O55" i="15" s="1"/>
  <c r="P55" i="15" s="1"/>
  <c r="L54" i="15"/>
  <c r="M54" i="15" s="1"/>
  <c r="K54" i="15"/>
  <c r="N54" i="15" s="1"/>
  <c r="I54" i="15"/>
  <c r="L53" i="15"/>
  <c r="M53" i="15" s="1"/>
  <c r="N53" i="15"/>
  <c r="I53" i="15"/>
  <c r="K52" i="15"/>
  <c r="J52" i="15"/>
  <c r="H52" i="15"/>
  <c r="G52" i="15"/>
  <c r="F52" i="15"/>
  <c r="E52" i="15"/>
  <c r="D52" i="15"/>
  <c r="C52" i="15"/>
  <c r="N51" i="15"/>
  <c r="I51" i="15"/>
  <c r="L50" i="15"/>
  <c r="M50" i="15" s="1"/>
  <c r="N50" i="15"/>
  <c r="I50" i="15"/>
  <c r="N49" i="15"/>
  <c r="L49" i="15"/>
  <c r="I49" i="15"/>
  <c r="N48" i="15"/>
  <c r="L48" i="15"/>
  <c r="I48" i="15"/>
  <c r="L47" i="15"/>
  <c r="O47" i="15" s="1"/>
  <c r="P47" i="15" s="1"/>
  <c r="I47" i="15"/>
  <c r="N46" i="15"/>
  <c r="L46" i="15"/>
  <c r="I46" i="15"/>
  <c r="I45" i="15"/>
  <c r="N44" i="15"/>
  <c r="L44" i="15"/>
  <c r="I44" i="15"/>
  <c r="G44" i="15"/>
  <c r="N43" i="15"/>
  <c r="L43" i="15"/>
  <c r="I43" i="15"/>
  <c r="I42" i="15"/>
  <c r="N41" i="15"/>
  <c r="L41" i="15"/>
  <c r="M41" i="15" s="1"/>
  <c r="I41" i="15"/>
  <c r="N40" i="15"/>
  <c r="L40" i="15"/>
  <c r="M40" i="15" s="1"/>
  <c r="I40" i="15"/>
  <c r="I39" i="15"/>
  <c r="N38" i="15"/>
  <c r="L38" i="15"/>
  <c r="I38" i="15"/>
  <c r="L37" i="15"/>
  <c r="I37" i="15"/>
  <c r="N36" i="15"/>
  <c r="L36" i="15"/>
  <c r="M36" i="15" s="1"/>
  <c r="I36" i="15"/>
  <c r="I35" i="15"/>
  <c r="H34" i="15"/>
  <c r="I34" i="15" s="1"/>
  <c r="I33" i="15"/>
  <c r="K32" i="15"/>
  <c r="J32" i="15"/>
  <c r="H32" i="15"/>
  <c r="F32" i="15"/>
  <c r="D32" i="15"/>
  <c r="C32" i="15"/>
  <c r="J31" i="15"/>
  <c r="L31" i="15" s="1"/>
  <c r="I31" i="15"/>
  <c r="J30" i="15"/>
  <c r="L30" i="15" s="1"/>
  <c r="M30" i="15" s="1"/>
  <c r="I30" i="15"/>
  <c r="O30" i="15" s="1"/>
  <c r="P30" i="15" s="1"/>
  <c r="J29" i="15"/>
  <c r="L29" i="15" s="1"/>
  <c r="M29" i="15" s="1"/>
  <c r="I29" i="15"/>
  <c r="J28" i="15"/>
  <c r="I28" i="15"/>
  <c r="J27" i="15"/>
  <c r="I27" i="15"/>
  <c r="J26" i="15"/>
  <c r="L26" i="15" s="1"/>
  <c r="I26" i="15"/>
  <c r="J25" i="15"/>
  <c r="N25" i="15" s="1"/>
  <c r="I25" i="15"/>
  <c r="K24" i="15"/>
  <c r="G24" i="15"/>
  <c r="F24" i="15"/>
  <c r="D24" i="15"/>
  <c r="C24" i="15"/>
  <c r="J23" i="15"/>
  <c r="N23" i="15" s="1"/>
  <c r="I23" i="15"/>
  <c r="J22" i="15"/>
  <c r="I22" i="15"/>
  <c r="N21" i="15"/>
  <c r="L21" i="15"/>
  <c r="M21" i="15" s="1"/>
  <c r="I21" i="15"/>
  <c r="L20" i="15"/>
  <c r="I20" i="15"/>
  <c r="K19" i="15"/>
  <c r="H19" i="15"/>
  <c r="G19" i="15"/>
  <c r="F19" i="15"/>
  <c r="D19" i="15"/>
  <c r="C19" i="15"/>
  <c r="L18" i="15"/>
  <c r="I18" i="15"/>
  <c r="I17" i="15"/>
  <c r="I16" i="15"/>
  <c r="I15" i="15"/>
  <c r="N14" i="15"/>
  <c r="L14" i="15"/>
  <c r="I14" i="15"/>
  <c r="I13" i="15"/>
  <c r="L12" i="15"/>
  <c r="M12" i="15" s="1"/>
  <c r="I12" i="15"/>
  <c r="I11" i="15"/>
  <c r="L10" i="15"/>
  <c r="N10" i="15"/>
  <c r="I10" i="15"/>
  <c r="I9" i="15"/>
  <c r="K8" i="15"/>
  <c r="G8" i="15"/>
  <c r="F8" i="15"/>
  <c r="F71" i="15" s="1"/>
  <c r="D8" i="15"/>
  <c r="D71" i="15" s="1"/>
  <c r="C8" i="15"/>
  <c r="M26" i="15" l="1"/>
  <c r="O26" i="15"/>
  <c r="N31" i="15"/>
  <c r="L23" i="15"/>
  <c r="O23" i="15" s="1"/>
  <c r="L25" i="15"/>
  <c r="M25" i="15" s="1"/>
  <c r="N30" i="15"/>
  <c r="O31" i="15"/>
  <c r="O36" i="15"/>
  <c r="P36" i="15" s="1"/>
  <c r="O46" i="15"/>
  <c r="P46" i="15" s="1"/>
  <c r="O58" i="15"/>
  <c r="P58" i="15" s="1"/>
  <c r="M64" i="15"/>
  <c r="O63" i="15"/>
  <c r="P63" i="15" s="1"/>
  <c r="M61" i="15"/>
  <c r="O61" i="15"/>
  <c r="P61" i="15" s="1"/>
  <c r="O64" i="15"/>
  <c r="P64" i="15" s="1"/>
  <c r="M60" i="15"/>
  <c r="M58" i="15"/>
  <c r="M56" i="15"/>
  <c r="I52" i="15"/>
  <c r="O54" i="15"/>
  <c r="P54" i="15" s="1"/>
  <c r="N52" i="15"/>
  <c r="O53" i="15"/>
  <c r="P53" i="15" s="1"/>
  <c r="M46" i="15"/>
  <c r="M44" i="15"/>
  <c r="O38" i="15"/>
  <c r="P38" i="15" s="1"/>
  <c r="O37" i="15"/>
  <c r="P37" i="15" s="1"/>
  <c r="N32" i="15"/>
  <c r="O50" i="15"/>
  <c r="M47" i="15"/>
  <c r="O49" i="15"/>
  <c r="O48" i="15"/>
  <c r="O43" i="15"/>
  <c r="P43" i="15" s="1"/>
  <c r="O44" i="15"/>
  <c r="P44" i="15" s="1"/>
  <c r="M37" i="15"/>
  <c r="O41" i="15"/>
  <c r="P41" i="15" s="1"/>
  <c r="O29" i="15"/>
  <c r="P29" i="15" s="1"/>
  <c r="O20" i="15"/>
  <c r="O18" i="15"/>
  <c r="P18" i="15" s="1"/>
  <c r="I8" i="15"/>
  <c r="O13" i="15"/>
  <c r="P13" i="15" s="1"/>
  <c r="M13" i="15"/>
  <c r="O12" i="15"/>
  <c r="P12" i="15" s="1"/>
  <c r="L17" i="15"/>
  <c r="M17" i="15" s="1"/>
  <c r="O14" i="15"/>
  <c r="P14" i="15" s="1"/>
  <c r="P20" i="15"/>
  <c r="N16" i="15"/>
  <c r="L16" i="15"/>
  <c r="M16" i="15" s="1"/>
  <c r="M20" i="15"/>
  <c r="N27" i="15"/>
  <c r="L27" i="15"/>
  <c r="N39" i="15"/>
  <c r="L39" i="15"/>
  <c r="K71" i="15"/>
  <c r="N15" i="15"/>
  <c r="L15" i="15"/>
  <c r="M18" i="15"/>
  <c r="O21" i="15"/>
  <c r="P21" i="15" s="1"/>
  <c r="I19" i="15"/>
  <c r="O25" i="15"/>
  <c r="J24" i="15"/>
  <c r="N24" i="15" s="1"/>
  <c r="N26" i="15"/>
  <c r="I32" i="15"/>
  <c r="N35" i="15"/>
  <c r="L35" i="15"/>
  <c r="M35" i="15" s="1"/>
  <c r="M38" i="15"/>
  <c r="N28" i="15"/>
  <c r="L28" i="15"/>
  <c r="M28" i="15" s="1"/>
  <c r="N33" i="15"/>
  <c r="L33" i="15"/>
  <c r="N42" i="15"/>
  <c r="L42" i="15"/>
  <c r="O42" i="15" s="1"/>
  <c r="N9" i="15"/>
  <c r="J8" i="15"/>
  <c r="L9" i="15"/>
  <c r="O10" i="15"/>
  <c r="N11" i="15"/>
  <c r="L11" i="15"/>
  <c r="M14" i="15"/>
  <c r="N22" i="15"/>
  <c r="J19" i="15"/>
  <c r="N19" i="15" s="1"/>
  <c r="L22" i="15"/>
  <c r="O22" i="15" s="1"/>
  <c r="I24" i="15"/>
  <c r="N34" i="15"/>
  <c r="L34" i="15"/>
  <c r="O40" i="15"/>
  <c r="M43" i="15"/>
  <c r="N45" i="15"/>
  <c r="L45" i="15"/>
  <c r="O59" i="15"/>
  <c r="O65" i="15"/>
  <c r="P65" i="15" s="1"/>
  <c r="H8" i="15"/>
  <c r="H71" i="15" s="1"/>
  <c r="N13" i="15"/>
  <c r="N18" i="15"/>
  <c r="N20" i="15"/>
  <c r="H24" i="15"/>
  <c r="N29" i="15"/>
  <c r="G32" i="15"/>
  <c r="G71" i="15" s="1"/>
  <c r="N37" i="15"/>
  <c r="N47" i="15"/>
  <c r="L51" i="15"/>
  <c r="L52" i="15"/>
  <c r="O56" i="15"/>
  <c r="P56" i="15" s="1"/>
  <c r="I57" i="15"/>
  <c r="L62" i="15"/>
  <c r="M63" i="15"/>
  <c r="L66" i="15"/>
  <c r="J68" i="15"/>
  <c r="L70" i="15"/>
  <c r="J57" i="15"/>
  <c r="L57" i="15" s="1"/>
  <c r="O28" i="15" l="1"/>
  <c r="P28" i="15" s="1"/>
  <c r="O51" i="15"/>
  <c r="M51" i="15"/>
  <c r="L24" i="15"/>
  <c r="M24" i="15" s="1"/>
  <c r="N57" i="15"/>
  <c r="M52" i="15"/>
  <c r="I71" i="15"/>
  <c r="O17" i="15"/>
  <c r="P17" i="15" s="1"/>
  <c r="M34" i="15"/>
  <c r="O34" i="15"/>
  <c r="P34" i="15" s="1"/>
  <c r="M9" i="15"/>
  <c r="L8" i="15"/>
  <c r="M8" i="15" s="1"/>
  <c r="N8" i="15"/>
  <c r="J71" i="15"/>
  <c r="O9" i="15"/>
  <c r="M39" i="15"/>
  <c r="O39" i="15"/>
  <c r="P39" i="15" s="1"/>
  <c r="O66" i="15"/>
  <c r="P66" i="15" s="1"/>
  <c r="M66" i="15"/>
  <c r="O52" i="15"/>
  <c r="P52" i="15" s="1"/>
  <c r="L19" i="15"/>
  <c r="M19" i="15" s="1"/>
  <c r="O35" i="15"/>
  <c r="P35" i="15" s="1"/>
  <c r="L68" i="15"/>
  <c r="O70" i="15"/>
  <c r="M70" i="15"/>
  <c r="M62" i="15"/>
  <c r="O62" i="15"/>
  <c r="P62" i="15" s="1"/>
  <c r="M11" i="15"/>
  <c r="O11" i="15"/>
  <c r="P11" i="15" s="1"/>
  <c r="M33" i="15"/>
  <c r="L32" i="15"/>
  <c r="M32" i="15" s="1"/>
  <c r="O33" i="15"/>
  <c r="M57" i="15"/>
  <c r="M45" i="15"/>
  <c r="O45" i="15"/>
  <c r="P45" i="15" s="1"/>
  <c r="M15" i="15"/>
  <c r="O15" i="15"/>
  <c r="P15" i="15" s="1"/>
  <c r="M27" i="15"/>
  <c r="O27" i="15"/>
  <c r="P27" i="15" s="1"/>
  <c r="O19" i="15"/>
  <c r="P19" i="15" s="1"/>
  <c r="O16" i="15"/>
  <c r="J54" i="12"/>
  <c r="K54" i="14"/>
  <c r="P16" i="15" l="1"/>
  <c r="O8" i="15"/>
  <c r="N71" i="15"/>
  <c r="P70" i="15"/>
  <c r="O68" i="15"/>
  <c r="P68" i="15" s="1"/>
  <c r="O24" i="15"/>
  <c r="P24" i="15" s="1"/>
  <c r="L71" i="15"/>
  <c r="M71" i="15" s="1"/>
  <c r="P9" i="15"/>
  <c r="P33" i="15"/>
  <c r="O32" i="15"/>
  <c r="P32" i="15" s="1"/>
  <c r="O57" i="15"/>
  <c r="P57" i="15" s="1"/>
  <c r="J26" i="14"/>
  <c r="J27" i="14"/>
  <c r="J28" i="14"/>
  <c r="J29" i="14"/>
  <c r="L29" i="14" s="1"/>
  <c r="M29" i="14" s="1"/>
  <c r="J30" i="14"/>
  <c r="J31" i="14"/>
  <c r="H16" i="14"/>
  <c r="H9" i="14"/>
  <c r="H8" i="14" s="1"/>
  <c r="O53" i="14"/>
  <c r="O58" i="14"/>
  <c r="E71" i="14"/>
  <c r="E57" i="14"/>
  <c r="E52" i="14"/>
  <c r="J59" i="14"/>
  <c r="J60" i="14"/>
  <c r="J61" i="14"/>
  <c r="J62" i="14"/>
  <c r="L62" i="14" s="1"/>
  <c r="J63" i="14"/>
  <c r="J64" i="14"/>
  <c r="J65" i="14"/>
  <c r="J66" i="14"/>
  <c r="N66" i="14" s="1"/>
  <c r="J67" i="14"/>
  <c r="J58" i="14"/>
  <c r="N58" i="14" s="1"/>
  <c r="J54" i="14"/>
  <c r="N54" i="14" s="1"/>
  <c r="J55" i="14"/>
  <c r="L55" i="14" s="1"/>
  <c r="M55" i="14" s="1"/>
  <c r="J56" i="14"/>
  <c r="L56" i="14" s="1"/>
  <c r="J53" i="14"/>
  <c r="J51" i="14"/>
  <c r="J34" i="14"/>
  <c r="J35" i="14"/>
  <c r="J36" i="14"/>
  <c r="N36" i="14" s="1"/>
  <c r="J37" i="14"/>
  <c r="J38" i="14"/>
  <c r="L38" i="14" s="1"/>
  <c r="M38" i="14" s="1"/>
  <c r="J39" i="14"/>
  <c r="J40" i="14"/>
  <c r="L40" i="14" s="1"/>
  <c r="J41" i="14"/>
  <c r="L41" i="14" s="1"/>
  <c r="J42" i="14"/>
  <c r="J43" i="14"/>
  <c r="J44" i="14"/>
  <c r="L44" i="14" s="1"/>
  <c r="J45" i="14"/>
  <c r="N45" i="14" s="1"/>
  <c r="J46" i="14"/>
  <c r="L46" i="14" s="1"/>
  <c r="O46" i="14" s="1"/>
  <c r="P46" i="14" s="1"/>
  <c r="J47" i="14"/>
  <c r="J48" i="14"/>
  <c r="J49" i="14"/>
  <c r="L49" i="14" s="1"/>
  <c r="J50" i="14"/>
  <c r="L50" i="14" s="1"/>
  <c r="J33" i="14"/>
  <c r="L33" i="14" s="1"/>
  <c r="O33" i="14" s="1"/>
  <c r="P33" i="14" s="1"/>
  <c r="N27" i="14"/>
  <c r="N28" i="14"/>
  <c r="N30" i="14"/>
  <c r="J25" i="14"/>
  <c r="J21" i="14"/>
  <c r="J22" i="14"/>
  <c r="J23" i="14"/>
  <c r="J20" i="14"/>
  <c r="J10" i="14"/>
  <c r="J11" i="14"/>
  <c r="J12" i="14"/>
  <c r="J13" i="14"/>
  <c r="J14" i="14"/>
  <c r="J15" i="14"/>
  <c r="J16" i="14"/>
  <c r="J17" i="14"/>
  <c r="L17" i="14" s="1"/>
  <c r="J18" i="14"/>
  <c r="N18" i="14" s="1"/>
  <c r="J9" i="14"/>
  <c r="L9" i="14" s="1"/>
  <c r="J70" i="14"/>
  <c r="N70" i="14" s="1"/>
  <c r="I70" i="14"/>
  <c r="O69" i="14"/>
  <c r="N69" i="14"/>
  <c r="N68" i="14" s="1"/>
  <c r="I69" i="14"/>
  <c r="M68" i="14"/>
  <c r="K68" i="14"/>
  <c r="J68" i="14"/>
  <c r="I68" i="14"/>
  <c r="H68" i="14"/>
  <c r="G68" i="14"/>
  <c r="F68" i="14"/>
  <c r="D68" i="14"/>
  <c r="C68" i="14"/>
  <c r="N67" i="14"/>
  <c r="L67" i="14"/>
  <c r="I67" i="14"/>
  <c r="L66" i="14"/>
  <c r="I66" i="14"/>
  <c r="N65" i="14"/>
  <c r="I65" i="14"/>
  <c r="I64" i="14"/>
  <c r="N63" i="14"/>
  <c r="L63" i="14"/>
  <c r="I63" i="14"/>
  <c r="N62" i="14"/>
  <c r="I62" i="14"/>
  <c r="L61" i="14"/>
  <c r="M61" i="14" s="1"/>
  <c r="N61" i="14"/>
  <c r="I61" i="14"/>
  <c r="L60" i="14"/>
  <c r="M60" i="14" s="1"/>
  <c r="N60" i="14"/>
  <c r="I60" i="14"/>
  <c r="N59" i="14"/>
  <c r="L59" i="14"/>
  <c r="I59" i="14"/>
  <c r="L58" i="14"/>
  <c r="I58" i="14"/>
  <c r="H57" i="14"/>
  <c r="G57" i="14"/>
  <c r="F57" i="14"/>
  <c r="D57" i="14"/>
  <c r="C57" i="14"/>
  <c r="N56" i="14"/>
  <c r="I56" i="14"/>
  <c r="I55" i="14"/>
  <c r="I54" i="14"/>
  <c r="N53" i="14"/>
  <c r="L53" i="14"/>
  <c r="M53" i="14" s="1"/>
  <c r="I53" i="14"/>
  <c r="K52" i="14"/>
  <c r="I52" i="14"/>
  <c r="H52" i="14"/>
  <c r="G52" i="14"/>
  <c r="F52" i="14"/>
  <c r="D52" i="14"/>
  <c r="C52" i="14"/>
  <c r="L51" i="14"/>
  <c r="N51" i="14"/>
  <c r="I51" i="14"/>
  <c r="N50" i="14"/>
  <c r="I50" i="14"/>
  <c r="N49" i="14"/>
  <c r="I49" i="14"/>
  <c r="I48" i="14"/>
  <c r="N47" i="14"/>
  <c r="L47" i="14"/>
  <c r="M47" i="14" s="1"/>
  <c r="I47" i="14"/>
  <c r="O47" i="14" s="1"/>
  <c r="P47" i="14" s="1"/>
  <c r="N46" i="14"/>
  <c r="I46" i="14"/>
  <c r="I45" i="14"/>
  <c r="I44" i="14"/>
  <c r="G44" i="14"/>
  <c r="N43" i="14"/>
  <c r="L43" i="14"/>
  <c r="I43" i="14"/>
  <c r="N42" i="14"/>
  <c r="I42" i="14"/>
  <c r="I41" i="14"/>
  <c r="I40" i="14"/>
  <c r="L39" i="14"/>
  <c r="O39" i="14" s="1"/>
  <c r="P39" i="14" s="1"/>
  <c r="N39" i="14"/>
  <c r="I39" i="14"/>
  <c r="N38" i="14"/>
  <c r="I38" i="14"/>
  <c r="N37" i="14"/>
  <c r="I37" i="14"/>
  <c r="L36" i="14"/>
  <c r="M36" i="14" s="1"/>
  <c r="I36" i="14"/>
  <c r="L35" i="14"/>
  <c r="M35" i="14" s="1"/>
  <c r="N35" i="14"/>
  <c r="G35" i="14"/>
  <c r="I35" i="14" s="1"/>
  <c r="L34" i="14"/>
  <c r="M34" i="14" s="1"/>
  <c r="N34" i="14"/>
  <c r="H34" i="14"/>
  <c r="I34" i="14" s="1"/>
  <c r="I33" i="14"/>
  <c r="K32" i="14"/>
  <c r="G32" i="14"/>
  <c r="F32" i="14"/>
  <c r="D32" i="14"/>
  <c r="C32" i="14"/>
  <c r="I31" i="14"/>
  <c r="I30" i="14"/>
  <c r="O30" i="14" s="1"/>
  <c r="P30" i="14" s="1"/>
  <c r="I29" i="14"/>
  <c r="H28" i="14"/>
  <c r="I28" i="14" s="1"/>
  <c r="L27" i="14"/>
  <c r="O27" i="14" s="1"/>
  <c r="P27" i="14" s="1"/>
  <c r="I27" i="14"/>
  <c r="O26" i="14"/>
  <c r="N26" i="14"/>
  <c r="I26" i="14"/>
  <c r="N25" i="14"/>
  <c r="L25" i="14"/>
  <c r="I25" i="14"/>
  <c r="I24" i="14" s="1"/>
  <c r="K24" i="14"/>
  <c r="H24" i="14"/>
  <c r="G24" i="14"/>
  <c r="F24" i="14"/>
  <c r="D24" i="14"/>
  <c r="C24" i="14"/>
  <c r="L23" i="14"/>
  <c r="N23" i="14"/>
  <c r="I23" i="14"/>
  <c r="N22" i="14"/>
  <c r="L22" i="14"/>
  <c r="I22" i="14"/>
  <c r="N21" i="14"/>
  <c r="I21" i="14"/>
  <c r="L20" i="14"/>
  <c r="I20" i="14"/>
  <c r="K19" i="14"/>
  <c r="H19" i="14"/>
  <c r="G19" i="14"/>
  <c r="F19" i="14"/>
  <c r="D19" i="14"/>
  <c r="C19" i="14"/>
  <c r="L18" i="14"/>
  <c r="M18" i="14" s="1"/>
  <c r="I18" i="14"/>
  <c r="N17" i="14"/>
  <c r="I17" i="14"/>
  <c r="L16" i="14"/>
  <c r="O16" i="14" s="1"/>
  <c r="P16" i="14" s="1"/>
  <c r="N16" i="14"/>
  <c r="I16" i="14"/>
  <c r="L15" i="14"/>
  <c r="M15" i="14" s="1"/>
  <c r="N15" i="14"/>
  <c r="I15" i="14"/>
  <c r="N14" i="14"/>
  <c r="L14" i="14"/>
  <c r="M14" i="14" s="1"/>
  <c r="I14" i="14"/>
  <c r="N13" i="14"/>
  <c r="L13" i="14"/>
  <c r="I13" i="14"/>
  <c r="N12" i="14"/>
  <c r="I12" i="14"/>
  <c r="N11" i="14"/>
  <c r="L11" i="14"/>
  <c r="I11" i="14"/>
  <c r="N10" i="14"/>
  <c r="L10" i="14"/>
  <c r="I10" i="14"/>
  <c r="N9" i="14"/>
  <c r="J8" i="14"/>
  <c r="G8" i="14"/>
  <c r="G71" i="14" s="1"/>
  <c r="F8" i="14"/>
  <c r="D8" i="14"/>
  <c r="C8" i="14"/>
  <c r="O71" i="15" l="1"/>
  <c r="P71" i="15" s="1"/>
  <c r="P8" i="15"/>
  <c r="O29" i="14"/>
  <c r="P29" i="14" s="1"/>
  <c r="M13" i="14"/>
  <c r="O66" i="14"/>
  <c r="P66" i="14" s="1"/>
  <c r="M11" i="14"/>
  <c r="I9" i="14"/>
  <c r="P58" i="14"/>
  <c r="M16" i="14"/>
  <c r="D71" i="14"/>
  <c r="O35" i="14"/>
  <c r="P35" i="14" s="1"/>
  <c r="O50" i="14"/>
  <c r="O25" i="14"/>
  <c r="O43" i="14"/>
  <c r="P43" i="14" s="1"/>
  <c r="M58" i="14"/>
  <c r="O63" i="14"/>
  <c r="P63" i="14" s="1"/>
  <c r="L70" i="14"/>
  <c r="N55" i="14"/>
  <c r="O62" i="14"/>
  <c r="P62" i="14" s="1"/>
  <c r="M62" i="14"/>
  <c r="O67" i="14"/>
  <c r="O56" i="14"/>
  <c r="P56" i="14" s="1"/>
  <c r="M56" i="14"/>
  <c r="O51" i="14"/>
  <c r="M41" i="14"/>
  <c r="O41" i="14"/>
  <c r="P41" i="14" s="1"/>
  <c r="M44" i="14"/>
  <c r="O44" i="14"/>
  <c r="P44" i="14" s="1"/>
  <c r="N40" i="14"/>
  <c r="O49" i="14"/>
  <c r="O40" i="14"/>
  <c r="O36" i="14"/>
  <c r="P36" i="14" s="1"/>
  <c r="M39" i="14"/>
  <c r="N33" i="14"/>
  <c r="L28" i="14"/>
  <c r="O28" i="14" s="1"/>
  <c r="P28" i="14" s="1"/>
  <c r="O23" i="14"/>
  <c r="O22" i="14"/>
  <c r="O20" i="14"/>
  <c r="P20" i="14" s="1"/>
  <c r="O17" i="14"/>
  <c r="P17" i="14" s="1"/>
  <c r="O14" i="14"/>
  <c r="P14" i="14" s="1"/>
  <c r="O18" i="14"/>
  <c r="P18" i="14" s="1"/>
  <c r="M9" i="14"/>
  <c r="O9" i="14"/>
  <c r="M20" i="14"/>
  <c r="M40" i="14"/>
  <c r="C71" i="14"/>
  <c r="F71" i="14"/>
  <c r="K8" i="14"/>
  <c r="N8" i="14" s="1"/>
  <c r="O10" i="14"/>
  <c r="I8" i="14"/>
  <c r="O11" i="14"/>
  <c r="P11" i="14" s="1"/>
  <c r="L12" i="14"/>
  <c r="O13" i="14"/>
  <c r="P13" i="14" s="1"/>
  <c r="O15" i="14"/>
  <c r="P15" i="14" s="1"/>
  <c r="N20" i="14"/>
  <c r="L21" i="14"/>
  <c r="M27" i="14"/>
  <c r="N29" i="14"/>
  <c r="H32" i="14"/>
  <c r="H71" i="14" s="1"/>
  <c r="M33" i="14"/>
  <c r="O38" i="14"/>
  <c r="P38" i="14" s="1"/>
  <c r="M43" i="14"/>
  <c r="M46" i="14"/>
  <c r="N48" i="14"/>
  <c r="L48" i="14"/>
  <c r="O48" i="14" s="1"/>
  <c r="P53" i="14"/>
  <c r="O55" i="14"/>
  <c r="P55" i="14" s="1"/>
  <c r="K57" i="14"/>
  <c r="O61" i="14"/>
  <c r="P61" i="14" s="1"/>
  <c r="M66" i="14"/>
  <c r="I19" i="14"/>
  <c r="I57" i="14"/>
  <c r="O59" i="14"/>
  <c r="J57" i="14"/>
  <c r="L57" i="14" s="1"/>
  <c r="L64" i="14"/>
  <c r="M17" i="14"/>
  <c r="J19" i="14"/>
  <c r="N19" i="14" s="1"/>
  <c r="J24" i="14"/>
  <c r="N24" i="14" s="1"/>
  <c r="N31" i="14"/>
  <c r="L31" i="14"/>
  <c r="O31" i="14" s="1"/>
  <c r="O34" i="14"/>
  <c r="I32" i="14"/>
  <c r="J32" i="14"/>
  <c r="N32" i="14" s="1"/>
  <c r="L37" i="14"/>
  <c r="M37" i="14" s="1"/>
  <c r="N41" i="14"/>
  <c r="L42" i="14"/>
  <c r="O42" i="14" s="1"/>
  <c r="N44" i="14"/>
  <c r="L45" i="14"/>
  <c r="L54" i="14"/>
  <c r="J52" i="14"/>
  <c r="N52" i="14" s="1"/>
  <c r="O60" i="14"/>
  <c r="P60" i="14" s="1"/>
  <c r="M63" i="14"/>
  <c r="N64" i="14"/>
  <c r="L65" i="14"/>
  <c r="O70" i="14"/>
  <c r="L68" i="14"/>
  <c r="M70" i="14"/>
  <c r="O37" i="14" l="1"/>
  <c r="P37" i="14" s="1"/>
  <c r="O24" i="14"/>
  <c r="P24" i="14" s="1"/>
  <c r="M65" i="14"/>
  <c r="O65" i="14"/>
  <c r="P65" i="14" s="1"/>
  <c r="M57" i="14"/>
  <c r="P9" i="14"/>
  <c r="M54" i="14"/>
  <c r="L52" i="14"/>
  <c r="M52" i="14" s="1"/>
  <c r="P34" i="14"/>
  <c r="I71" i="14"/>
  <c r="O54" i="14"/>
  <c r="M45" i="14"/>
  <c r="O45" i="14"/>
  <c r="P45" i="14" s="1"/>
  <c r="L32" i="14"/>
  <c r="M32" i="14" s="1"/>
  <c r="J71" i="14"/>
  <c r="O68" i="14"/>
  <c r="P68" i="14" s="1"/>
  <c r="P70" i="14"/>
  <c r="M64" i="14"/>
  <c r="O64" i="14"/>
  <c r="P64" i="14" s="1"/>
  <c r="L24" i="14"/>
  <c r="M24" i="14" s="1"/>
  <c r="N57" i="14"/>
  <c r="N71" i="14" s="1"/>
  <c r="M21" i="14"/>
  <c r="O21" i="14"/>
  <c r="O12" i="14"/>
  <c r="P12" i="14" s="1"/>
  <c r="M12" i="14"/>
  <c r="K71" i="14"/>
  <c r="L19" i="14"/>
  <c r="M19" i="14" s="1"/>
  <c r="L8" i="14"/>
  <c r="M8" i="14" s="1"/>
  <c r="O57" i="14" l="1"/>
  <c r="P57" i="14" s="1"/>
  <c r="O32" i="14"/>
  <c r="P32" i="14" s="1"/>
  <c r="O8" i="14"/>
  <c r="P21" i="14"/>
  <c r="O19" i="14"/>
  <c r="P19" i="14" s="1"/>
  <c r="P54" i="14"/>
  <c r="O52" i="14"/>
  <c r="P52" i="14" s="1"/>
  <c r="L71" i="14"/>
  <c r="M71" i="14" s="1"/>
  <c r="O71" i="14" l="1"/>
  <c r="P71" i="14" s="1"/>
  <c r="P8" i="14"/>
  <c r="G34" i="12" l="1"/>
  <c r="F44" i="12"/>
  <c r="F35" i="12" l="1"/>
  <c r="I41" i="12" l="1"/>
  <c r="J40" i="12"/>
  <c r="J61" i="12"/>
  <c r="J60" i="12"/>
  <c r="J9" i="12" l="1"/>
  <c r="I68" i="12" l="1"/>
  <c r="K19" i="12"/>
  <c r="J68" i="12"/>
  <c r="K68" i="12"/>
  <c r="K24" i="11" l="1"/>
  <c r="K19" i="11"/>
  <c r="K68" i="11"/>
  <c r="J68" i="11"/>
  <c r="I70" i="12"/>
  <c r="K70" i="12" s="1"/>
  <c r="L70" i="12" s="1"/>
  <c r="I59" i="12"/>
  <c r="I60" i="12"/>
  <c r="I61" i="12"/>
  <c r="I62" i="12"/>
  <c r="K62" i="12" s="1"/>
  <c r="N62" i="12" s="1"/>
  <c r="O62" i="12" s="1"/>
  <c r="I63" i="12"/>
  <c r="I64" i="12"/>
  <c r="I65" i="12"/>
  <c r="I66" i="12"/>
  <c r="K66" i="12" s="1"/>
  <c r="N66" i="12" s="1"/>
  <c r="O66" i="12" s="1"/>
  <c r="I67" i="12"/>
  <c r="I58" i="12"/>
  <c r="I54" i="12"/>
  <c r="K54" i="12" s="1"/>
  <c r="N54" i="12" s="1"/>
  <c r="O54" i="12" s="1"/>
  <c r="I55" i="12"/>
  <c r="K55" i="12" s="1"/>
  <c r="I56" i="12"/>
  <c r="I53" i="12"/>
  <c r="I34" i="12"/>
  <c r="I35" i="12"/>
  <c r="I36" i="12"/>
  <c r="I37" i="12"/>
  <c r="M37" i="12" s="1"/>
  <c r="I38" i="12"/>
  <c r="I39" i="12"/>
  <c r="I40" i="12"/>
  <c r="K41" i="12"/>
  <c r="N41" i="12" s="1"/>
  <c r="O41" i="12" s="1"/>
  <c r="I42" i="12"/>
  <c r="I43" i="12"/>
  <c r="I45" i="12"/>
  <c r="K45" i="12" s="1"/>
  <c r="I46" i="12"/>
  <c r="I47" i="12"/>
  <c r="I48" i="12"/>
  <c r="I49" i="12"/>
  <c r="I50" i="12"/>
  <c r="I51" i="12"/>
  <c r="I33" i="12"/>
  <c r="I26" i="12"/>
  <c r="I27" i="12"/>
  <c r="I28" i="12"/>
  <c r="I29" i="12"/>
  <c r="M29" i="12" s="1"/>
  <c r="I30" i="12"/>
  <c r="I31" i="12"/>
  <c r="I25" i="12"/>
  <c r="I21" i="12"/>
  <c r="I22" i="12"/>
  <c r="I23" i="12"/>
  <c r="I20" i="12"/>
  <c r="M20" i="12" s="1"/>
  <c r="I12" i="12"/>
  <c r="I13" i="12"/>
  <c r="M13" i="12" s="1"/>
  <c r="I14" i="12"/>
  <c r="I15" i="12"/>
  <c r="I16" i="12"/>
  <c r="I17" i="12"/>
  <c r="M17" i="12" s="1"/>
  <c r="I18" i="12"/>
  <c r="I11" i="12"/>
  <c r="I10" i="12"/>
  <c r="I9" i="12"/>
  <c r="M70" i="12"/>
  <c r="M68" i="12" s="1"/>
  <c r="H70" i="12"/>
  <c r="M69" i="12"/>
  <c r="H69" i="12"/>
  <c r="N69" i="12" s="1"/>
  <c r="L68" i="12"/>
  <c r="H68" i="12"/>
  <c r="G68" i="12"/>
  <c r="F68" i="12"/>
  <c r="E68" i="12"/>
  <c r="D68" i="12"/>
  <c r="C68" i="12"/>
  <c r="M67" i="12"/>
  <c r="K67" i="12"/>
  <c r="H67" i="12"/>
  <c r="M66" i="12"/>
  <c r="H66" i="12"/>
  <c r="M65" i="12"/>
  <c r="H65" i="12"/>
  <c r="M64" i="12"/>
  <c r="K64" i="12"/>
  <c r="H64" i="12"/>
  <c r="L64" i="12" s="1"/>
  <c r="K63" i="12"/>
  <c r="N63" i="12" s="1"/>
  <c r="O63" i="12" s="1"/>
  <c r="M63" i="12"/>
  <c r="H63" i="12"/>
  <c r="M62" i="12"/>
  <c r="H62" i="12"/>
  <c r="M61" i="12"/>
  <c r="H61" i="12"/>
  <c r="M60" i="12"/>
  <c r="K60" i="12"/>
  <c r="H60" i="12"/>
  <c r="M59" i="12"/>
  <c r="H59" i="12"/>
  <c r="M58" i="12"/>
  <c r="K58" i="12"/>
  <c r="H58" i="12"/>
  <c r="J57" i="12"/>
  <c r="G57" i="12"/>
  <c r="F57" i="12"/>
  <c r="E57" i="12"/>
  <c r="D57" i="12"/>
  <c r="C57" i="12"/>
  <c r="M56" i="12"/>
  <c r="K56" i="12"/>
  <c r="H56" i="12"/>
  <c r="L56" i="12" s="1"/>
  <c r="H55" i="12"/>
  <c r="H54" i="12"/>
  <c r="M53" i="12"/>
  <c r="H53" i="12"/>
  <c r="J52" i="12"/>
  <c r="G52" i="12"/>
  <c r="F52" i="12"/>
  <c r="E52" i="12"/>
  <c r="D52" i="12"/>
  <c r="C52" i="12"/>
  <c r="M51" i="12"/>
  <c r="K51" i="12"/>
  <c r="H51" i="12"/>
  <c r="M50" i="12"/>
  <c r="K50" i="12"/>
  <c r="H50" i="12"/>
  <c r="H49" i="12"/>
  <c r="M48" i="12"/>
  <c r="H48" i="12"/>
  <c r="K47" i="12"/>
  <c r="L47" i="12" s="1"/>
  <c r="H47" i="12"/>
  <c r="N47" i="12" s="1"/>
  <c r="O47" i="12" s="1"/>
  <c r="M46" i="12"/>
  <c r="L46" i="12"/>
  <c r="K46" i="12"/>
  <c r="H46" i="12"/>
  <c r="N46" i="12" s="1"/>
  <c r="O46" i="12" s="1"/>
  <c r="H45" i="12"/>
  <c r="H44" i="12"/>
  <c r="K43" i="12"/>
  <c r="H43" i="12"/>
  <c r="M42" i="12"/>
  <c r="H42" i="12"/>
  <c r="H41" i="12"/>
  <c r="K40" i="12"/>
  <c r="M40" i="12"/>
  <c r="H40" i="12"/>
  <c r="M39" i="12"/>
  <c r="H39" i="12"/>
  <c r="K38" i="12"/>
  <c r="H38" i="12"/>
  <c r="N38" i="12" s="1"/>
  <c r="O38" i="12" s="1"/>
  <c r="H37" i="12"/>
  <c r="K36" i="12"/>
  <c r="N36" i="12" s="1"/>
  <c r="O36" i="12" s="1"/>
  <c r="M36" i="12"/>
  <c r="H36" i="12"/>
  <c r="M35" i="12"/>
  <c r="H35" i="12"/>
  <c r="K34" i="12"/>
  <c r="M34" i="12"/>
  <c r="H34" i="12"/>
  <c r="K33" i="12"/>
  <c r="M33" i="12"/>
  <c r="H33" i="12"/>
  <c r="J32" i="12"/>
  <c r="G32" i="12"/>
  <c r="F32" i="12"/>
  <c r="E32" i="12"/>
  <c r="D32" i="12"/>
  <c r="C32" i="12"/>
  <c r="M31" i="12"/>
  <c r="K31" i="12"/>
  <c r="H31" i="12"/>
  <c r="N31" i="12" s="1"/>
  <c r="M30" i="12"/>
  <c r="H30" i="12"/>
  <c r="N30" i="12" s="1"/>
  <c r="O30" i="12" s="1"/>
  <c r="H29" i="12"/>
  <c r="M28" i="12"/>
  <c r="H28" i="12"/>
  <c r="G28" i="12"/>
  <c r="K27" i="12"/>
  <c r="L27" i="12" s="1"/>
  <c r="M27" i="12"/>
  <c r="H27" i="12"/>
  <c r="H26" i="12"/>
  <c r="N26" i="12" s="1"/>
  <c r="M25" i="12"/>
  <c r="K25" i="12"/>
  <c r="H25" i="12"/>
  <c r="J24" i="12"/>
  <c r="G24" i="12"/>
  <c r="F24" i="12"/>
  <c r="E24" i="12"/>
  <c r="D24" i="12"/>
  <c r="C24" i="12"/>
  <c r="H23" i="12"/>
  <c r="M22" i="12"/>
  <c r="H22" i="12"/>
  <c r="M21" i="12"/>
  <c r="H21" i="12"/>
  <c r="H20" i="12"/>
  <c r="J19" i="12"/>
  <c r="G19" i="12"/>
  <c r="F19" i="12"/>
  <c r="E19" i="12"/>
  <c r="D19" i="12"/>
  <c r="C19" i="12"/>
  <c r="M18" i="12"/>
  <c r="K18" i="12"/>
  <c r="H18" i="12"/>
  <c r="N18" i="12" s="1"/>
  <c r="O18" i="12" s="1"/>
  <c r="K17" i="12"/>
  <c r="H17" i="12"/>
  <c r="K16" i="12"/>
  <c r="M16" i="12"/>
  <c r="H16" i="12"/>
  <c r="M15" i="12"/>
  <c r="K15" i="12"/>
  <c r="L15" i="12" s="1"/>
  <c r="H15" i="12"/>
  <c r="M14" i="12"/>
  <c r="K14" i="12"/>
  <c r="L14" i="12" s="1"/>
  <c r="H14" i="12"/>
  <c r="K13" i="12"/>
  <c r="N13" i="12" s="1"/>
  <c r="O13" i="12" s="1"/>
  <c r="H13" i="12"/>
  <c r="M12" i="12"/>
  <c r="H12" i="12"/>
  <c r="K11" i="12"/>
  <c r="L11" i="12" s="1"/>
  <c r="H11" i="12"/>
  <c r="M10" i="12"/>
  <c r="H10" i="12"/>
  <c r="K9" i="12"/>
  <c r="H9" i="12"/>
  <c r="J8" i="12"/>
  <c r="G8" i="12"/>
  <c r="F8" i="12"/>
  <c r="E8" i="12"/>
  <c r="E71" i="12" s="1"/>
  <c r="D8" i="12"/>
  <c r="D71" i="12" s="1"/>
  <c r="C8" i="12"/>
  <c r="N58" i="11"/>
  <c r="H58" i="11"/>
  <c r="N53" i="11"/>
  <c r="H53" i="11"/>
  <c r="M68" i="11"/>
  <c r="N34" i="12" l="1"/>
  <c r="O34" i="12" s="1"/>
  <c r="J71" i="12"/>
  <c r="K8" i="12"/>
  <c r="L16" i="12"/>
  <c r="N17" i="12"/>
  <c r="O17" i="12" s="1"/>
  <c r="G71" i="12"/>
  <c r="H32" i="12"/>
  <c r="N40" i="12"/>
  <c r="N70" i="12"/>
  <c r="O70" i="12" s="1"/>
  <c r="L63" i="12"/>
  <c r="L60" i="12"/>
  <c r="N67" i="12"/>
  <c r="L58" i="12"/>
  <c r="N55" i="12"/>
  <c r="O55" i="12" s="1"/>
  <c r="L55" i="12"/>
  <c r="I52" i="12"/>
  <c r="M52" i="12" s="1"/>
  <c r="M55" i="12"/>
  <c r="M54" i="12"/>
  <c r="N45" i="12"/>
  <c r="O45" i="12" s="1"/>
  <c r="L45" i="12"/>
  <c r="K37" i="12"/>
  <c r="L37" i="12" s="1"/>
  <c r="N43" i="12"/>
  <c r="O43" i="12" s="1"/>
  <c r="M45" i="12"/>
  <c r="N51" i="12"/>
  <c r="N37" i="12"/>
  <c r="O37" i="12" s="1"/>
  <c r="L40" i="12"/>
  <c r="N50" i="12"/>
  <c r="K29" i="12"/>
  <c r="I24" i="12"/>
  <c r="M24" i="12" s="1"/>
  <c r="K20" i="12"/>
  <c r="L20" i="12" s="1"/>
  <c r="L13" i="12"/>
  <c r="N15" i="12"/>
  <c r="O15" i="12" s="1"/>
  <c r="N14" i="12"/>
  <c r="O14" i="12" s="1"/>
  <c r="N11" i="12"/>
  <c r="O11" i="12" s="1"/>
  <c r="I8" i="12"/>
  <c r="N9" i="12"/>
  <c r="O9" i="12"/>
  <c r="M23" i="12"/>
  <c r="K23" i="12"/>
  <c r="N23" i="12" s="1"/>
  <c r="L33" i="12"/>
  <c r="F71" i="12"/>
  <c r="L9" i="12"/>
  <c r="N16" i="12"/>
  <c r="O16" i="12" s="1"/>
  <c r="N27" i="12"/>
  <c r="O27" i="12" s="1"/>
  <c r="N33" i="12"/>
  <c r="L38" i="12"/>
  <c r="L43" i="12"/>
  <c r="M47" i="12"/>
  <c r="K48" i="12"/>
  <c r="N48" i="12" s="1"/>
  <c r="C71" i="12"/>
  <c r="M9" i="12"/>
  <c r="K10" i="12"/>
  <c r="L17" i="12"/>
  <c r="H19" i="12"/>
  <c r="K22" i="12"/>
  <c r="N22" i="12" s="1"/>
  <c r="K28" i="12"/>
  <c r="L34" i="12"/>
  <c r="M38" i="12"/>
  <c r="K39" i="12"/>
  <c r="L41" i="12"/>
  <c r="M43" i="12"/>
  <c r="N68" i="12"/>
  <c r="O68" i="12" s="1"/>
  <c r="M11" i="12"/>
  <c r="K12" i="12"/>
  <c r="K21" i="12"/>
  <c r="L21" i="12" s="1"/>
  <c r="I19" i="12"/>
  <c r="M26" i="12"/>
  <c r="L36" i="12"/>
  <c r="H8" i="12"/>
  <c r="M8" i="12"/>
  <c r="L18" i="12"/>
  <c r="M19" i="12"/>
  <c r="N25" i="12"/>
  <c r="L29" i="12"/>
  <c r="K35" i="12"/>
  <c r="L35" i="12" s="1"/>
  <c r="M41" i="12"/>
  <c r="K42" i="12"/>
  <c r="M49" i="12"/>
  <c r="K49" i="12"/>
  <c r="N49" i="12" s="1"/>
  <c r="H24" i="12"/>
  <c r="K53" i="12"/>
  <c r="L54" i="12"/>
  <c r="N56" i="12"/>
  <c r="O56" i="12" s="1"/>
  <c r="I57" i="12"/>
  <c r="K57" i="12" s="1"/>
  <c r="N58" i="12"/>
  <c r="K59" i="12"/>
  <c r="N59" i="12" s="1"/>
  <c r="N60" i="12"/>
  <c r="O60" i="12" s="1"/>
  <c r="K61" i="12"/>
  <c r="L62" i="12"/>
  <c r="N64" i="12"/>
  <c r="O64" i="12" s="1"/>
  <c r="K65" i="12"/>
  <c r="L66" i="12"/>
  <c r="H57" i="12"/>
  <c r="H52" i="12"/>
  <c r="D71" i="11"/>
  <c r="K70" i="11"/>
  <c r="N28" i="12" l="1"/>
  <c r="O28" i="12" s="1"/>
  <c r="K24" i="12"/>
  <c r="L24" i="12" s="1"/>
  <c r="M57" i="12"/>
  <c r="N29" i="12"/>
  <c r="O29" i="12" s="1"/>
  <c r="L19" i="12"/>
  <c r="N20" i="12"/>
  <c r="O20" i="12" s="1"/>
  <c r="L8" i="12"/>
  <c r="N10" i="12"/>
  <c r="L39" i="12"/>
  <c r="N39" i="12"/>
  <c r="O39" i="12" s="1"/>
  <c r="O33" i="12"/>
  <c r="O58" i="12"/>
  <c r="L53" i="12"/>
  <c r="K52" i="12"/>
  <c r="L52" i="12" s="1"/>
  <c r="N53" i="12"/>
  <c r="L65" i="12"/>
  <c r="N65" i="12"/>
  <c r="O65" i="12" s="1"/>
  <c r="N42" i="12"/>
  <c r="L12" i="12"/>
  <c r="N12" i="12"/>
  <c r="O12" i="12" s="1"/>
  <c r="N21" i="12"/>
  <c r="L61" i="12"/>
  <c r="N61" i="12"/>
  <c r="O61" i="12" s="1"/>
  <c r="L57" i="12"/>
  <c r="H71" i="12"/>
  <c r="N35" i="12"/>
  <c r="O35" i="12" s="1"/>
  <c r="K44" i="11"/>
  <c r="K32" i="11" s="1"/>
  <c r="K71" i="11" s="1"/>
  <c r="K45" i="11"/>
  <c r="K46" i="11"/>
  <c r="K47" i="11"/>
  <c r="K48" i="11"/>
  <c r="K49" i="11"/>
  <c r="K50" i="11"/>
  <c r="K51" i="11"/>
  <c r="J35" i="11"/>
  <c r="F35" i="11"/>
  <c r="I59" i="11"/>
  <c r="I60" i="11"/>
  <c r="I61" i="11"/>
  <c r="I62" i="11"/>
  <c r="I63" i="11"/>
  <c r="I64" i="11"/>
  <c r="I65" i="11"/>
  <c r="I66" i="11"/>
  <c r="K66" i="11" s="1"/>
  <c r="N66" i="11" s="1"/>
  <c r="O66" i="11" s="1"/>
  <c r="I67" i="11"/>
  <c r="I58" i="11"/>
  <c r="K16" i="11"/>
  <c r="K17" i="11"/>
  <c r="K18" i="11"/>
  <c r="K14" i="11"/>
  <c r="K15" i="11"/>
  <c r="N15" i="11" s="1"/>
  <c r="O15" i="11" s="1"/>
  <c r="M15" i="11"/>
  <c r="H59" i="11"/>
  <c r="H60" i="11"/>
  <c r="H61" i="11"/>
  <c r="H62" i="11"/>
  <c r="H57" i="11" s="1"/>
  <c r="H63" i="11"/>
  <c r="H64" i="11"/>
  <c r="H65" i="11"/>
  <c r="H66" i="11"/>
  <c r="H67" i="11"/>
  <c r="K58" i="11"/>
  <c r="I54" i="11"/>
  <c r="I55" i="11"/>
  <c r="I56" i="11"/>
  <c r="K56" i="11" s="1"/>
  <c r="I53" i="11"/>
  <c r="I34" i="11"/>
  <c r="I35" i="11"/>
  <c r="I36" i="11"/>
  <c r="I37" i="11"/>
  <c r="I38" i="11"/>
  <c r="I39" i="11"/>
  <c r="I40" i="11"/>
  <c r="I41" i="11"/>
  <c r="M41" i="11" s="1"/>
  <c r="I42" i="11"/>
  <c r="I43" i="11"/>
  <c r="I44" i="11"/>
  <c r="I44" i="12" s="1"/>
  <c r="I45" i="11"/>
  <c r="M45" i="11" s="1"/>
  <c r="I46" i="11"/>
  <c r="I47" i="11"/>
  <c r="I48" i="11"/>
  <c r="I49" i="11"/>
  <c r="M49" i="11" s="1"/>
  <c r="I50" i="11"/>
  <c r="I51" i="11"/>
  <c r="I33" i="11"/>
  <c r="I26" i="11"/>
  <c r="I27" i="11"/>
  <c r="I28" i="11"/>
  <c r="I29" i="11"/>
  <c r="K29" i="11" s="1"/>
  <c r="L29" i="11" s="1"/>
  <c r="I30" i="11"/>
  <c r="I31" i="11"/>
  <c r="I25" i="11"/>
  <c r="I21" i="11"/>
  <c r="I22" i="11"/>
  <c r="I23" i="11"/>
  <c r="I20" i="11"/>
  <c r="I10" i="11"/>
  <c r="I11" i="11"/>
  <c r="I12" i="11"/>
  <c r="I13" i="11"/>
  <c r="I14" i="11"/>
  <c r="I15" i="11"/>
  <c r="I16" i="11"/>
  <c r="I17" i="11"/>
  <c r="I18" i="11"/>
  <c r="L18" i="11" s="1"/>
  <c r="I9" i="11"/>
  <c r="M70" i="11"/>
  <c r="H70" i="11"/>
  <c r="M69" i="11"/>
  <c r="H69" i="11"/>
  <c r="N69" i="11" s="1"/>
  <c r="L68" i="11"/>
  <c r="I68" i="11"/>
  <c r="G68" i="11"/>
  <c r="F68" i="11"/>
  <c r="E68" i="11"/>
  <c r="D68" i="11"/>
  <c r="C68" i="11"/>
  <c r="M66" i="11"/>
  <c r="M65" i="11"/>
  <c r="K65" i="11"/>
  <c r="N65" i="11" s="1"/>
  <c r="O65" i="11" s="1"/>
  <c r="K64" i="11"/>
  <c r="M64" i="11"/>
  <c r="M61" i="11"/>
  <c r="K61" i="11"/>
  <c r="L61" i="11" s="1"/>
  <c r="N61" i="11"/>
  <c r="O61" i="11" s="1"/>
  <c r="K60" i="11"/>
  <c r="N60" i="11" s="1"/>
  <c r="O60" i="11" s="1"/>
  <c r="M60" i="11"/>
  <c r="M59" i="11"/>
  <c r="K59" i="11"/>
  <c r="J57" i="11"/>
  <c r="G57" i="11"/>
  <c r="F57" i="11"/>
  <c r="E57" i="11"/>
  <c r="D57" i="11"/>
  <c r="C57" i="11"/>
  <c r="H56" i="11"/>
  <c r="H55" i="11"/>
  <c r="H54" i="11"/>
  <c r="M53" i="11"/>
  <c r="K53" i="11"/>
  <c r="L53" i="11" s="1"/>
  <c r="J52" i="11"/>
  <c r="G52" i="11"/>
  <c r="F52" i="11"/>
  <c r="E52" i="11"/>
  <c r="D52" i="11"/>
  <c r="C52" i="11"/>
  <c r="M51" i="11"/>
  <c r="H51" i="11"/>
  <c r="M50" i="11"/>
  <c r="H50" i="11"/>
  <c r="H49" i="11"/>
  <c r="M48" i="11"/>
  <c r="H48" i="11"/>
  <c r="N48" i="11" s="1"/>
  <c r="M47" i="11"/>
  <c r="H47" i="11"/>
  <c r="H46" i="11"/>
  <c r="H45" i="11"/>
  <c r="H44" i="11"/>
  <c r="H43" i="11"/>
  <c r="M42" i="11"/>
  <c r="K42" i="11"/>
  <c r="H42" i="11"/>
  <c r="H41" i="11"/>
  <c r="M40" i="11"/>
  <c r="K40" i="11"/>
  <c r="L40" i="11" s="1"/>
  <c r="H40" i="11"/>
  <c r="O39" i="11"/>
  <c r="K39" i="11"/>
  <c r="N39" i="11" s="1"/>
  <c r="M39" i="11"/>
  <c r="H39" i="11"/>
  <c r="H38" i="11"/>
  <c r="H37" i="11"/>
  <c r="M36" i="11"/>
  <c r="K36" i="11"/>
  <c r="L36" i="11" s="1"/>
  <c r="H36" i="11"/>
  <c r="K35" i="11"/>
  <c r="M35" i="11"/>
  <c r="H35" i="11"/>
  <c r="K34" i="11"/>
  <c r="N34" i="11" s="1"/>
  <c r="O34" i="11" s="1"/>
  <c r="M34" i="11"/>
  <c r="H34" i="11"/>
  <c r="H33" i="11"/>
  <c r="J32" i="11"/>
  <c r="G32" i="11"/>
  <c r="F32" i="11"/>
  <c r="E32" i="11"/>
  <c r="D32" i="11"/>
  <c r="C32" i="11"/>
  <c r="M31" i="11"/>
  <c r="K31" i="11"/>
  <c r="H31" i="11"/>
  <c r="O30" i="11"/>
  <c r="M30" i="11"/>
  <c r="H30" i="11"/>
  <c r="N30" i="11" s="1"/>
  <c r="H29" i="11"/>
  <c r="K28" i="11"/>
  <c r="M28" i="11"/>
  <c r="H28" i="11"/>
  <c r="G28" i="11"/>
  <c r="M27" i="11"/>
  <c r="H27" i="11"/>
  <c r="M26" i="11"/>
  <c r="H26" i="11"/>
  <c r="H25" i="11"/>
  <c r="J24" i="11"/>
  <c r="G24" i="11"/>
  <c r="F24" i="11"/>
  <c r="F71" i="11" s="1"/>
  <c r="E24" i="11"/>
  <c r="D24" i="11"/>
  <c r="C24" i="11"/>
  <c r="K23" i="11"/>
  <c r="H23" i="11"/>
  <c r="M22" i="11"/>
  <c r="H22" i="11"/>
  <c r="H21" i="11"/>
  <c r="M20" i="11"/>
  <c r="K20" i="11"/>
  <c r="L20" i="11" s="1"/>
  <c r="H20" i="11"/>
  <c r="J19" i="11"/>
  <c r="G19" i="11"/>
  <c r="F19" i="11"/>
  <c r="E19" i="11"/>
  <c r="D19" i="11"/>
  <c r="C19" i="11"/>
  <c r="M18" i="11"/>
  <c r="H18" i="11"/>
  <c r="M17" i="11"/>
  <c r="H17" i="11"/>
  <c r="M16" i="11"/>
  <c r="L16" i="11"/>
  <c r="H16" i="11"/>
  <c r="H15" i="11"/>
  <c r="L14" i="11"/>
  <c r="H14" i="11"/>
  <c r="K13" i="11"/>
  <c r="M13" i="11"/>
  <c r="H13" i="11"/>
  <c r="M12" i="11"/>
  <c r="K12" i="11"/>
  <c r="N12" i="11" s="1"/>
  <c r="O12" i="11" s="1"/>
  <c r="H12" i="11"/>
  <c r="H11" i="11"/>
  <c r="H10" i="11"/>
  <c r="H9" i="11"/>
  <c r="G8" i="11"/>
  <c r="F8" i="11"/>
  <c r="E8" i="11"/>
  <c r="D8" i="11"/>
  <c r="C8" i="11"/>
  <c r="M44" i="11" l="1"/>
  <c r="I32" i="11"/>
  <c r="M44" i="12"/>
  <c r="I32" i="12"/>
  <c r="K44" i="12"/>
  <c r="N44" i="11"/>
  <c r="O44" i="11" s="1"/>
  <c r="N24" i="12"/>
  <c r="O24" i="12" s="1"/>
  <c r="N57" i="12"/>
  <c r="O57" i="12" s="1"/>
  <c r="O53" i="12"/>
  <c r="N52" i="12"/>
  <c r="O52" i="12" s="1"/>
  <c r="O21" i="12"/>
  <c r="N19" i="12"/>
  <c r="O19" i="12" s="1"/>
  <c r="N8" i="12"/>
  <c r="L39" i="11"/>
  <c r="L35" i="11"/>
  <c r="M32" i="11"/>
  <c r="L65" i="11"/>
  <c r="L60" i="11"/>
  <c r="L15" i="11"/>
  <c r="O58" i="11"/>
  <c r="M58" i="11"/>
  <c r="N56" i="11"/>
  <c r="O56" i="11" s="1"/>
  <c r="L56" i="11"/>
  <c r="M56" i="11"/>
  <c r="L34" i="11"/>
  <c r="N40" i="11"/>
  <c r="L45" i="11"/>
  <c r="N45" i="11"/>
  <c r="O45" i="11" s="1"/>
  <c r="N36" i="11"/>
  <c r="O36" i="11" s="1"/>
  <c r="L44" i="11"/>
  <c r="N49" i="11"/>
  <c r="N42" i="11"/>
  <c r="M29" i="11"/>
  <c r="N31" i="11"/>
  <c r="N29" i="11"/>
  <c r="O29" i="11" s="1"/>
  <c r="N23" i="11"/>
  <c r="N18" i="11"/>
  <c r="O18" i="11" s="1"/>
  <c r="M25" i="11"/>
  <c r="K25" i="11"/>
  <c r="I24" i="11"/>
  <c r="M24" i="11" s="1"/>
  <c r="L46" i="11"/>
  <c r="N46" i="11"/>
  <c r="O46" i="11" s="1"/>
  <c r="M63" i="11"/>
  <c r="K63" i="11"/>
  <c r="N26" i="11"/>
  <c r="H24" i="11"/>
  <c r="K41" i="11"/>
  <c r="M46" i="11"/>
  <c r="M55" i="11"/>
  <c r="K55" i="11"/>
  <c r="M10" i="11"/>
  <c r="K10" i="11"/>
  <c r="N10" i="11" s="1"/>
  <c r="N16" i="11"/>
  <c r="O16" i="11" s="1"/>
  <c r="H52" i="11"/>
  <c r="N59" i="11"/>
  <c r="I57" i="11"/>
  <c r="K57" i="11" s="1"/>
  <c r="K62" i="11"/>
  <c r="M62" i="11"/>
  <c r="K11" i="11"/>
  <c r="M11" i="11"/>
  <c r="N13" i="11"/>
  <c r="O13" i="11" s="1"/>
  <c r="L13" i="11"/>
  <c r="M33" i="11"/>
  <c r="K33" i="11"/>
  <c r="L47" i="11"/>
  <c r="N47" i="11"/>
  <c r="O47" i="11" s="1"/>
  <c r="H19" i="11"/>
  <c r="K27" i="11"/>
  <c r="L27" i="11" s="1"/>
  <c r="K37" i="11"/>
  <c r="L37" i="11" s="1"/>
  <c r="M37" i="11"/>
  <c r="G71" i="11"/>
  <c r="N14" i="11"/>
  <c r="O14" i="11" s="1"/>
  <c r="H8" i="11"/>
  <c r="K9" i="11"/>
  <c r="N9" i="11" s="1"/>
  <c r="M9" i="11"/>
  <c r="I8" i="11"/>
  <c r="L12" i="11"/>
  <c r="K21" i="11"/>
  <c r="I19" i="11"/>
  <c r="M19" i="11" s="1"/>
  <c r="M21" i="11"/>
  <c r="N27" i="11"/>
  <c r="O27" i="11" s="1"/>
  <c r="M38" i="11"/>
  <c r="K38" i="11"/>
  <c r="M43" i="11"/>
  <c r="K43" i="11"/>
  <c r="K54" i="11"/>
  <c r="N54" i="11" s="1"/>
  <c r="I52" i="11"/>
  <c r="M52" i="11" s="1"/>
  <c r="M54" i="11"/>
  <c r="M67" i="11"/>
  <c r="K67" i="11"/>
  <c r="N67" i="11" s="1"/>
  <c r="E71" i="11"/>
  <c r="N20" i="11"/>
  <c r="N28" i="11"/>
  <c r="O28" i="11" s="1"/>
  <c r="N35" i="11"/>
  <c r="O35" i="11" s="1"/>
  <c r="H32" i="11"/>
  <c r="N50" i="11"/>
  <c r="N51" i="11"/>
  <c r="C71" i="11"/>
  <c r="L58" i="11"/>
  <c r="N64" i="11"/>
  <c r="O64" i="11" s="1"/>
  <c r="L64" i="11"/>
  <c r="L66" i="11"/>
  <c r="N70" i="11"/>
  <c r="O70" i="11" s="1"/>
  <c r="L70" i="11"/>
  <c r="H68" i="11"/>
  <c r="M14" i="11"/>
  <c r="J8" i="11"/>
  <c r="J71" i="11" s="1"/>
  <c r="K22" i="11"/>
  <c r="N22" i="11" s="1"/>
  <c r="M23" i="11"/>
  <c r="O53" i="11"/>
  <c r="J8" i="9"/>
  <c r="M32" i="12" l="1"/>
  <c r="M71" i="12" s="1"/>
  <c r="I71" i="12"/>
  <c r="K32" i="12"/>
  <c r="L44" i="12"/>
  <c r="N44" i="12"/>
  <c r="O8" i="12"/>
  <c r="H71" i="11"/>
  <c r="M57" i="11"/>
  <c r="O54" i="11"/>
  <c r="O9" i="11"/>
  <c r="L11" i="11"/>
  <c r="N11" i="11"/>
  <c r="O11" i="11" s="1"/>
  <c r="I71" i="11"/>
  <c r="M8" i="11"/>
  <c r="N17" i="11"/>
  <c r="O17" i="11" s="1"/>
  <c r="L17" i="11"/>
  <c r="O20" i="11"/>
  <c r="N68" i="11"/>
  <c r="O68" i="11" s="1"/>
  <c r="L43" i="11"/>
  <c r="N43" i="11"/>
  <c r="O43" i="11" s="1"/>
  <c r="L21" i="11"/>
  <c r="N21" i="11"/>
  <c r="O21" i="11" s="1"/>
  <c r="L62" i="11"/>
  <c r="N62" i="11"/>
  <c r="O62" i="11" s="1"/>
  <c r="L41" i="11"/>
  <c r="N41" i="11"/>
  <c r="O41" i="11" s="1"/>
  <c r="L38" i="11"/>
  <c r="N38" i="11"/>
  <c r="O38" i="11" s="1"/>
  <c r="L54" i="11"/>
  <c r="K52" i="11"/>
  <c r="L52" i="11" s="1"/>
  <c r="N25" i="11"/>
  <c r="N24" i="11" s="1"/>
  <c r="O24" i="11" s="1"/>
  <c r="L19" i="11"/>
  <c r="K8" i="11"/>
  <c r="L8" i="11" s="1"/>
  <c r="L9" i="11"/>
  <c r="L33" i="11"/>
  <c r="L32" i="11"/>
  <c r="N33" i="11"/>
  <c r="L57" i="11"/>
  <c r="L55" i="11"/>
  <c r="N55" i="11"/>
  <c r="O55" i="11" s="1"/>
  <c r="L63" i="11"/>
  <c r="N63" i="11"/>
  <c r="O63" i="11" s="1"/>
  <c r="N37" i="11"/>
  <c r="O37" i="11" s="1"/>
  <c r="O28" i="9"/>
  <c r="L32" i="12" l="1"/>
  <c r="K71" i="12"/>
  <c r="L71" i="12" s="1"/>
  <c r="O44" i="12"/>
  <c r="N32" i="12"/>
  <c r="M71" i="11"/>
  <c r="N19" i="11"/>
  <c r="O19" i="11" s="1"/>
  <c r="N57" i="11"/>
  <c r="O57" i="11" s="1"/>
  <c r="N8" i="11"/>
  <c r="O8" i="11" s="1"/>
  <c r="N52" i="11"/>
  <c r="O52" i="11" s="1"/>
  <c r="N32" i="11"/>
  <c r="O32" i="11" s="1"/>
  <c r="O33" i="11"/>
  <c r="K44" i="9"/>
  <c r="K51" i="9"/>
  <c r="N15" i="9"/>
  <c r="L15" i="9"/>
  <c r="J14" i="9"/>
  <c r="I59" i="9"/>
  <c r="I60" i="9"/>
  <c r="I61" i="9"/>
  <c r="I62" i="9"/>
  <c r="I63" i="9"/>
  <c r="I64" i="9"/>
  <c r="I65" i="9"/>
  <c r="I66" i="9"/>
  <c r="I67" i="9"/>
  <c r="I58" i="9"/>
  <c r="I54" i="9"/>
  <c r="I55" i="9"/>
  <c r="I56" i="9"/>
  <c r="I5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33" i="9"/>
  <c r="I26" i="9"/>
  <c r="I27" i="9"/>
  <c r="I28" i="9"/>
  <c r="I29" i="9"/>
  <c r="I30" i="9"/>
  <c r="I31" i="9"/>
  <c r="I25" i="9"/>
  <c r="I21" i="9"/>
  <c r="I22" i="9"/>
  <c r="I23" i="9"/>
  <c r="I20" i="9"/>
  <c r="I10" i="9"/>
  <c r="I11" i="9"/>
  <c r="I12" i="9"/>
  <c r="I13" i="9"/>
  <c r="I14" i="9"/>
  <c r="I15" i="9"/>
  <c r="I16" i="9"/>
  <c r="I17" i="9"/>
  <c r="I18" i="9"/>
  <c r="I9" i="9"/>
  <c r="O32" i="12" l="1"/>
  <c r="N71" i="12"/>
  <c r="O71" i="12" s="1"/>
  <c r="N71" i="11"/>
  <c r="O71" i="11" s="1"/>
  <c r="M70" i="9"/>
  <c r="H70" i="9"/>
  <c r="L70" i="9" s="1"/>
  <c r="M69" i="9"/>
  <c r="H69" i="9"/>
  <c r="N69" i="9" s="1"/>
  <c r="L68" i="9"/>
  <c r="K68" i="9"/>
  <c r="J68" i="9"/>
  <c r="I68" i="9"/>
  <c r="M68" i="9" s="1"/>
  <c r="H68" i="9"/>
  <c r="G68" i="9"/>
  <c r="F68" i="9"/>
  <c r="E68" i="9"/>
  <c r="D68" i="9"/>
  <c r="C68" i="9"/>
  <c r="M67" i="9"/>
  <c r="K67" i="9"/>
  <c r="H67" i="9"/>
  <c r="K66" i="9"/>
  <c r="L66" i="9" s="1"/>
  <c r="M66" i="9"/>
  <c r="H66" i="9"/>
  <c r="M65" i="9"/>
  <c r="H65" i="9"/>
  <c r="M64" i="9"/>
  <c r="K64" i="9"/>
  <c r="L64" i="9" s="1"/>
  <c r="H64" i="9"/>
  <c r="K63" i="9"/>
  <c r="H63" i="9"/>
  <c r="K62" i="9"/>
  <c r="L62" i="9" s="1"/>
  <c r="M62" i="9"/>
  <c r="H62" i="9"/>
  <c r="M61" i="9"/>
  <c r="H61" i="9"/>
  <c r="M60" i="9"/>
  <c r="K60" i="9"/>
  <c r="H60" i="9"/>
  <c r="M59" i="9"/>
  <c r="H59" i="9"/>
  <c r="M58" i="9"/>
  <c r="K58" i="9"/>
  <c r="H58" i="9"/>
  <c r="H57" i="9" s="1"/>
  <c r="J57" i="9"/>
  <c r="G57" i="9"/>
  <c r="F57" i="9"/>
  <c r="E57" i="9"/>
  <c r="D57" i="9"/>
  <c r="D71" i="9" s="1"/>
  <c r="C57" i="9"/>
  <c r="M56" i="9"/>
  <c r="K56" i="9"/>
  <c r="H56" i="9"/>
  <c r="K55" i="9"/>
  <c r="L55" i="9" s="1"/>
  <c r="M55" i="9"/>
  <c r="H55" i="9"/>
  <c r="K54" i="9"/>
  <c r="N54" i="9" s="1"/>
  <c r="O54" i="9" s="1"/>
  <c r="M54" i="9"/>
  <c r="H54" i="9"/>
  <c r="M53" i="9"/>
  <c r="H53" i="9"/>
  <c r="J52" i="9"/>
  <c r="I52" i="9"/>
  <c r="G52" i="9"/>
  <c r="F52" i="9"/>
  <c r="E52" i="9"/>
  <c r="D52" i="9"/>
  <c r="C52" i="9"/>
  <c r="M51" i="9"/>
  <c r="H51" i="9"/>
  <c r="N51" i="9" s="1"/>
  <c r="M50" i="9"/>
  <c r="K50" i="9"/>
  <c r="H50" i="9"/>
  <c r="M49" i="9"/>
  <c r="K49" i="9"/>
  <c r="H49" i="9"/>
  <c r="K48" i="9"/>
  <c r="L48" i="9" s="1"/>
  <c r="M48" i="9"/>
  <c r="H48" i="9"/>
  <c r="K47" i="9"/>
  <c r="N47" i="9" s="1"/>
  <c r="O47" i="9" s="1"/>
  <c r="M47" i="9"/>
  <c r="H47" i="9"/>
  <c r="M46" i="9"/>
  <c r="H46" i="9"/>
  <c r="M45" i="9"/>
  <c r="K45" i="9"/>
  <c r="L45" i="9" s="1"/>
  <c r="H45" i="9"/>
  <c r="M44" i="9"/>
  <c r="L44" i="9"/>
  <c r="H44" i="9"/>
  <c r="N44" i="9" s="1"/>
  <c r="O44" i="9" s="1"/>
  <c r="M43" i="9"/>
  <c r="K43" i="9"/>
  <c r="L43" i="9" s="1"/>
  <c r="H43" i="9"/>
  <c r="M42" i="9"/>
  <c r="H42" i="9"/>
  <c r="M41" i="9"/>
  <c r="K41" i="9"/>
  <c r="L41" i="9" s="1"/>
  <c r="H41" i="9"/>
  <c r="K40" i="9"/>
  <c r="N40" i="9" s="1"/>
  <c r="M40" i="9"/>
  <c r="H40" i="9"/>
  <c r="M39" i="9"/>
  <c r="K39" i="9"/>
  <c r="H39" i="9"/>
  <c r="M38" i="9"/>
  <c r="H38" i="9"/>
  <c r="M37" i="9"/>
  <c r="K37" i="9"/>
  <c r="L37" i="9" s="1"/>
  <c r="H37" i="9"/>
  <c r="K36" i="9"/>
  <c r="L36" i="9" s="1"/>
  <c r="M36" i="9"/>
  <c r="H36" i="9"/>
  <c r="K35" i="9"/>
  <c r="L35" i="9" s="1"/>
  <c r="M35" i="9"/>
  <c r="F35" i="9"/>
  <c r="H35" i="9" s="1"/>
  <c r="K34" i="9"/>
  <c r="N34" i="9" s="1"/>
  <c r="O34" i="9" s="1"/>
  <c r="M34" i="9"/>
  <c r="H34" i="9"/>
  <c r="M33" i="9"/>
  <c r="H33" i="9"/>
  <c r="I32" i="9"/>
  <c r="G32" i="9"/>
  <c r="F32" i="9"/>
  <c r="E32" i="9"/>
  <c r="D32" i="9"/>
  <c r="C32" i="9"/>
  <c r="M31" i="9"/>
  <c r="K31" i="9"/>
  <c r="H31" i="9"/>
  <c r="O30" i="9"/>
  <c r="N30" i="9"/>
  <c r="M30" i="9"/>
  <c r="H30" i="9"/>
  <c r="K29" i="9"/>
  <c r="M29" i="9"/>
  <c r="H29" i="9"/>
  <c r="M28" i="9"/>
  <c r="K28" i="9"/>
  <c r="G28" i="9"/>
  <c r="K27" i="9"/>
  <c r="N27" i="9" s="1"/>
  <c r="O27" i="9" s="1"/>
  <c r="M27" i="9"/>
  <c r="H27" i="9"/>
  <c r="N26" i="9"/>
  <c r="M26" i="9"/>
  <c r="H26" i="9"/>
  <c r="M25" i="9"/>
  <c r="K25" i="9"/>
  <c r="H25" i="9"/>
  <c r="J24" i="9"/>
  <c r="F24" i="9"/>
  <c r="E24" i="9"/>
  <c r="D24" i="9"/>
  <c r="C24" i="9"/>
  <c r="K23" i="9"/>
  <c r="M23" i="9"/>
  <c r="H23" i="9"/>
  <c r="M22" i="9"/>
  <c r="K22" i="9"/>
  <c r="H22" i="9"/>
  <c r="K21" i="9"/>
  <c r="M21" i="9"/>
  <c r="H21" i="9"/>
  <c r="H20" i="9"/>
  <c r="J19" i="9"/>
  <c r="I19" i="9"/>
  <c r="M19" i="9" s="1"/>
  <c r="H19" i="9"/>
  <c r="G19" i="9"/>
  <c r="F19" i="9"/>
  <c r="E19" i="9"/>
  <c r="D19" i="9"/>
  <c r="C19" i="9"/>
  <c r="H18" i="9"/>
  <c r="M17" i="9"/>
  <c r="K17" i="9"/>
  <c r="L17" i="9" s="1"/>
  <c r="H17" i="9"/>
  <c r="K16" i="9"/>
  <c r="L16" i="9" s="1"/>
  <c r="M16" i="9"/>
  <c r="H16" i="9"/>
  <c r="O15" i="9"/>
  <c r="M15" i="9"/>
  <c r="H15" i="9"/>
  <c r="K14" i="9"/>
  <c r="M14" i="9"/>
  <c r="H14" i="9"/>
  <c r="H13" i="9"/>
  <c r="M12" i="9"/>
  <c r="K12" i="9"/>
  <c r="H12" i="9"/>
  <c r="N12" i="9" s="1"/>
  <c r="O12" i="9" s="1"/>
  <c r="K11" i="9"/>
  <c r="L11" i="9" s="1"/>
  <c r="M11" i="9"/>
  <c r="H11" i="9"/>
  <c r="M10" i="9"/>
  <c r="K10" i="9"/>
  <c r="N10" i="9" s="1"/>
  <c r="H10" i="9"/>
  <c r="H8" i="9" s="1"/>
  <c r="K9" i="9"/>
  <c r="L9" i="9" s="1"/>
  <c r="M9" i="9"/>
  <c r="H9" i="9"/>
  <c r="G8" i="9"/>
  <c r="F8" i="9"/>
  <c r="F71" i="9" s="1"/>
  <c r="E8" i="9"/>
  <c r="E71" i="9" s="1"/>
  <c r="D8" i="9"/>
  <c r="C8" i="9"/>
  <c r="M52" i="9" l="1"/>
  <c r="N48" i="9"/>
  <c r="O48" i="9" s="1"/>
  <c r="N66" i="9"/>
  <c r="O66" i="9" s="1"/>
  <c r="N31" i="9"/>
  <c r="N25" i="9"/>
  <c r="N11" i="9"/>
  <c r="O11" i="9" s="1"/>
  <c r="N50" i="9"/>
  <c r="N62" i="9"/>
  <c r="O62" i="9" s="1"/>
  <c r="N64" i="9"/>
  <c r="O64" i="9" s="1"/>
  <c r="L58" i="9"/>
  <c r="L60" i="9"/>
  <c r="N55" i="9"/>
  <c r="O55" i="9" s="1"/>
  <c r="L56" i="9"/>
  <c r="N49" i="9"/>
  <c r="N41" i="9"/>
  <c r="O41" i="9" s="1"/>
  <c r="N36" i="9"/>
  <c r="O36" i="9" s="1"/>
  <c r="N37" i="9"/>
  <c r="O37" i="9" s="1"/>
  <c r="N43" i="9"/>
  <c r="O43" i="9" s="1"/>
  <c r="L27" i="9"/>
  <c r="N23" i="9"/>
  <c r="N22" i="9"/>
  <c r="N16" i="9"/>
  <c r="O16" i="9" s="1"/>
  <c r="N9" i="9"/>
  <c r="O9" i="9" s="1"/>
  <c r="G24" i="9"/>
  <c r="G71" i="9" s="1"/>
  <c r="H28" i="9"/>
  <c r="M13" i="9"/>
  <c r="I8" i="9"/>
  <c r="K13" i="9"/>
  <c r="N63" i="9"/>
  <c r="O63" i="9" s="1"/>
  <c r="L63" i="9"/>
  <c r="L12" i="9"/>
  <c r="N29" i="9"/>
  <c r="O29" i="9" s="1"/>
  <c r="K24" i="9"/>
  <c r="L29" i="9"/>
  <c r="N35" i="9"/>
  <c r="O35" i="9" s="1"/>
  <c r="H32" i="9"/>
  <c r="C71" i="9"/>
  <c r="N14" i="9"/>
  <c r="O14" i="9" s="1"/>
  <c r="L14" i="9"/>
  <c r="N17" i="9"/>
  <c r="O17" i="9" s="1"/>
  <c r="M18" i="9"/>
  <c r="K18" i="9"/>
  <c r="M20" i="9"/>
  <c r="K20" i="9"/>
  <c r="N21" i="9"/>
  <c r="O21" i="9" s="1"/>
  <c r="L21" i="9"/>
  <c r="N39" i="9"/>
  <c r="O39" i="9" s="1"/>
  <c r="L39" i="9"/>
  <c r="N45" i="9"/>
  <c r="O45" i="9" s="1"/>
  <c r="N67" i="9"/>
  <c r="I24" i="9"/>
  <c r="M24" i="9" s="1"/>
  <c r="J32" i="9"/>
  <c r="J71" i="9" s="1"/>
  <c r="K33" i="9"/>
  <c r="L34" i="9"/>
  <c r="K38" i="9"/>
  <c r="L40" i="9"/>
  <c r="K42" i="9"/>
  <c r="N42" i="9" s="1"/>
  <c r="K46" i="9"/>
  <c r="L47" i="9"/>
  <c r="K53" i="9"/>
  <c r="L54" i="9"/>
  <c r="N56" i="9"/>
  <c r="O56" i="9" s="1"/>
  <c r="I57" i="9"/>
  <c r="K57" i="9" s="1"/>
  <c r="N58" i="9"/>
  <c r="K59" i="9"/>
  <c r="N59" i="9" s="1"/>
  <c r="N60" i="9"/>
  <c r="O60" i="9" s="1"/>
  <c r="K61" i="9"/>
  <c r="M63" i="9"/>
  <c r="K65" i="9"/>
  <c r="N70" i="9"/>
  <c r="O70" i="9" s="1"/>
  <c r="H52" i="9"/>
  <c r="J39" i="8"/>
  <c r="O30" i="8"/>
  <c r="M30" i="8"/>
  <c r="H30" i="8"/>
  <c r="N30" i="8" s="1"/>
  <c r="M44" i="8"/>
  <c r="H44" i="8"/>
  <c r="N44" i="8" s="1"/>
  <c r="O44" i="8" s="1"/>
  <c r="M15" i="8"/>
  <c r="H15" i="8"/>
  <c r="N15" i="8" s="1"/>
  <c r="O15" i="8" s="1"/>
  <c r="G28" i="8"/>
  <c r="H28" i="8" s="1"/>
  <c r="I59" i="8"/>
  <c r="I60" i="8"/>
  <c r="K60" i="8" s="1"/>
  <c r="I61" i="8"/>
  <c r="M61" i="8" s="1"/>
  <c r="I62" i="8"/>
  <c r="K62" i="8" s="1"/>
  <c r="I63" i="8"/>
  <c r="I64" i="8"/>
  <c r="M64" i="8" s="1"/>
  <c r="I65" i="8"/>
  <c r="M65" i="8" s="1"/>
  <c r="I66" i="8"/>
  <c r="M66" i="8" s="1"/>
  <c r="I67" i="8"/>
  <c r="I58" i="8"/>
  <c r="K58" i="8" s="1"/>
  <c r="I54" i="8"/>
  <c r="K54" i="8" s="1"/>
  <c r="I55" i="8"/>
  <c r="K55" i="8" s="1"/>
  <c r="I56" i="8"/>
  <c r="I53" i="8"/>
  <c r="M53" i="8" s="1"/>
  <c r="I34" i="8"/>
  <c r="M34" i="8" s="1"/>
  <c r="I35" i="8"/>
  <c r="I36" i="8"/>
  <c r="K36" i="8" s="1"/>
  <c r="I37" i="8"/>
  <c r="K37" i="8" s="1"/>
  <c r="I38" i="8"/>
  <c r="M38" i="8" s="1"/>
  <c r="I39" i="8"/>
  <c r="M39" i="8" s="1"/>
  <c r="I40" i="8"/>
  <c r="M40" i="8" s="1"/>
  <c r="I41" i="8"/>
  <c r="M41" i="8" s="1"/>
  <c r="I42" i="8"/>
  <c r="M42" i="8" s="1"/>
  <c r="I43" i="8"/>
  <c r="M43" i="8" s="1"/>
  <c r="I45" i="8"/>
  <c r="I46" i="8"/>
  <c r="M46" i="8" s="1"/>
  <c r="I47" i="8"/>
  <c r="M47" i="8" s="1"/>
  <c r="I48" i="8"/>
  <c r="M48" i="8" s="1"/>
  <c r="I49" i="8"/>
  <c r="I50" i="8"/>
  <c r="M50" i="8" s="1"/>
  <c r="I51" i="8"/>
  <c r="M51" i="8" s="1"/>
  <c r="I33" i="8"/>
  <c r="K33" i="8" s="1"/>
  <c r="I26" i="8"/>
  <c r="I27" i="8"/>
  <c r="K27" i="8" s="1"/>
  <c r="I28" i="8"/>
  <c r="M28" i="8" s="1"/>
  <c r="I29" i="8"/>
  <c r="K29" i="8" s="1"/>
  <c r="I31" i="8"/>
  <c r="I25" i="8"/>
  <c r="M25" i="8" s="1"/>
  <c r="M31" i="8"/>
  <c r="I21" i="8"/>
  <c r="K21" i="8" s="1"/>
  <c r="I22" i="8"/>
  <c r="I23" i="8"/>
  <c r="K23" i="8" s="1"/>
  <c r="I20" i="8"/>
  <c r="I10" i="8"/>
  <c r="M10" i="8" s="1"/>
  <c r="I11" i="8"/>
  <c r="I12" i="8"/>
  <c r="M12" i="8" s="1"/>
  <c r="I13" i="8"/>
  <c r="I14" i="8"/>
  <c r="M14" i="8" s="1"/>
  <c r="I16" i="8"/>
  <c r="I17" i="8"/>
  <c r="M17" i="8" s="1"/>
  <c r="I18" i="8"/>
  <c r="I9" i="8"/>
  <c r="K9" i="8" s="1"/>
  <c r="M45" i="8"/>
  <c r="M35" i="8"/>
  <c r="M26" i="8"/>
  <c r="M22" i="8"/>
  <c r="M11" i="8"/>
  <c r="M70" i="8"/>
  <c r="H70" i="8"/>
  <c r="L70" i="8" s="1"/>
  <c r="M69" i="8"/>
  <c r="H69" i="8"/>
  <c r="N69" i="8" s="1"/>
  <c r="L68" i="8"/>
  <c r="K68" i="8"/>
  <c r="J68" i="8"/>
  <c r="M68" i="8" s="1"/>
  <c r="I68" i="8"/>
  <c r="G68" i="8"/>
  <c r="F68" i="8"/>
  <c r="E68" i="8"/>
  <c r="D68" i="8"/>
  <c r="C68" i="8"/>
  <c r="M67" i="8"/>
  <c r="K67" i="8"/>
  <c r="H67" i="8"/>
  <c r="H66" i="8"/>
  <c r="H65" i="8"/>
  <c r="H64" i="8"/>
  <c r="K63" i="8"/>
  <c r="H63" i="8"/>
  <c r="H62" i="8"/>
  <c r="H61" i="8"/>
  <c r="M60" i="8"/>
  <c r="H60" i="8"/>
  <c r="M59" i="8"/>
  <c r="H59" i="8"/>
  <c r="H58" i="8"/>
  <c r="J57" i="8"/>
  <c r="G57" i="8"/>
  <c r="F57" i="8"/>
  <c r="E57" i="8"/>
  <c r="D57" i="8"/>
  <c r="D71" i="8" s="1"/>
  <c r="C57" i="8"/>
  <c r="M56" i="8"/>
  <c r="K56" i="8"/>
  <c r="H56" i="8"/>
  <c r="M55" i="8"/>
  <c r="H55" i="8"/>
  <c r="H54" i="8"/>
  <c r="H53" i="8"/>
  <c r="J52" i="8"/>
  <c r="G52" i="8"/>
  <c r="F52" i="8"/>
  <c r="E52" i="8"/>
  <c r="D52" i="8"/>
  <c r="C52" i="8"/>
  <c r="H51" i="8"/>
  <c r="N51" i="8" s="1"/>
  <c r="H50" i="8"/>
  <c r="M49" i="8"/>
  <c r="H49" i="8"/>
  <c r="K48" i="8"/>
  <c r="H48" i="8"/>
  <c r="H47" i="8"/>
  <c r="H46" i="8"/>
  <c r="H45" i="8"/>
  <c r="H43" i="8"/>
  <c r="H42" i="8"/>
  <c r="H41" i="8"/>
  <c r="H40" i="8"/>
  <c r="H39" i="8"/>
  <c r="H38" i="8"/>
  <c r="H37" i="8"/>
  <c r="H36" i="8"/>
  <c r="F35" i="8"/>
  <c r="H35" i="8" s="1"/>
  <c r="H34" i="8"/>
  <c r="H33" i="8"/>
  <c r="J32" i="8"/>
  <c r="G32" i="8"/>
  <c r="E32" i="8"/>
  <c r="D32" i="8"/>
  <c r="C32" i="8"/>
  <c r="H31" i="8"/>
  <c r="H29" i="8"/>
  <c r="H27" i="8"/>
  <c r="H26" i="8"/>
  <c r="N26" i="8" s="1"/>
  <c r="H25" i="8"/>
  <c r="J24" i="8"/>
  <c r="F24" i="8"/>
  <c r="E24" i="8"/>
  <c r="D24" i="8"/>
  <c r="C24" i="8"/>
  <c r="M23" i="8"/>
  <c r="H23" i="8"/>
  <c r="K22" i="8"/>
  <c r="H22" i="8"/>
  <c r="H21" i="8"/>
  <c r="H20" i="8"/>
  <c r="J19" i="8"/>
  <c r="G19" i="8"/>
  <c r="F19" i="8"/>
  <c r="E19" i="8"/>
  <c r="D19" i="8"/>
  <c r="C19" i="8"/>
  <c r="H18" i="8"/>
  <c r="H17" i="8"/>
  <c r="M16" i="8"/>
  <c r="K16" i="8"/>
  <c r="H16" i="8"/>
  <c r="K14" i="8"/>
  <c r="H14" i="8"/>
  <c r="H13" i="8"/>
  <c r="H12" i="8"/>
  <c r="H11" i="8"/>
  <c r="H10" i="8"/>
  <c r="H9" i="8"/>
  <c r="J8" i="8"/>
  <c r="G8" i="8"/>
  <c r="F8" i="8"/>
  <c r="E8" i="8"/>
  <c r="D8" i="8"/>
  <c r="C8" i="8"/>
  <c r="M32" i="9" l="1"/>
  <c r="N46" i="9"/>
  <c r="O46" i="9" s="1"/>
  <c r="L46" i="9"/>
  <c r="L13" i="9"/>
  <c r="N13" i="9"/>
  <c r="O58" i="9"/>
  <c r="N53" i="9"/>
  <c r="L53" i="9"/>
  <c r="K52" i="9"/>
  <c r="L52" i="9" s="1"/>
  <c r="N68" i="9"/>
  <c r="O68" i="9" s="1"/>
  <c r="N28" i="9"/>
  <c r="N24" i="9" s="1"/>
  <c r="O24" i="9" s="1"/>
  <c r="H24" i="9"/>
  <c r="H71" i="9" s="1"/>
  <c r="L65" i="9"/>
  <c r="N65" i="9"/>
  <c r="O65" i="9" s="1"/>
  <c r="N33" i="9"/>
  <c r="L33" i="9"/>
  <c r="K32" i="9"/>
  <c r="L32" i="9" s="1"/>
  <c r="L18" i="9"/>
  <c r="N18" i="9"/>
  <c r="O18" i="9" s="1"/>
  <c r="M8" i="9"/>
  <c r="I71" i="9"/>
  <c r="L61" i="9"/>
  <c r="N61" i="9"/>
  <c r="O61" i="9" s="1"/>
  <c r="L57" i="9"/>
  <c r="L38" i="9"/>
  <c r="N38" i="9"/>
  <c r="O38" i="9" s="1"/>
  <c r="L20" i="9"/>
  <c r="K19" i="9"/>
  <c r="L19" i="9" s="1"/>
  <c r="N20" i="9"/>
  <c r="M57" i="9"/>
  <c r="K8" i="9"/>
  <c r="L8" i="9" s="1"/>
  <c r="L54" i="8"/>
  <c r="G24" i="8"/>
  <c r="G71" i="8" s="1"/>
  <c r="K43" i="8"/>
  <c r="L56" i="8"/>
  <c r="H57" i="8"/>
  <c r="H68" i="8"/>
  <c r="L44" i="8"/>
  <c r="L43" i="8"/>
  <c r="K12" i="8"/>
  <c r="L14" i="8"/>
  <c r="L48" i="8"/>
  <c r="K38" i="8"/>
  <c r="L38" i="8" s="1"/>
  <c r="K47" i="8"/>
  <c r="L47" i="8" s="1"/>
  <c r="L55" i="8"/>
  <c r="L27" i="8"/>
  <c r="L37" i="8"/>
  <c r="L58" i="8"/>
  <c r="L60" i="8"/>
  <c r="C71" i="8"/>
  <c r="L36" i="8"/>
  <c r="H19" i="8"/>
  <c r="F32" i="8"/>
  <c r="F71" i="8" s="1"/>
  <c r="H52" i="8"/>
  <c r="L9" i="8"/>
  <c r="L29" i="8"/>
  <c r="L62" i="8"/>
  <c r="K17" i="8"/>
  <c r="N17" i="8" s="1"/>
  <c r="O17" i="8" s="1"/>
  <c r="L21" i="8"/>
  <c r="L16" i="8"/>
  <c r="K46" i="8"/>
  <c r="L46" i="8" s="1"/>
  <c r="N48" i="8"/>
  <c r="O48" i="8" s="1"/>
  <c r="K64" i="8"/>
  <c r="L64" i="8" s="1"/>
  <c r="K50" i="8"/>
  <c r="N50" i="8" s="1"/>
  <c r="M62" i="8"/>
  <c r="M36" i="8"/>
  <c r="K40" i="8"/>
  <c r="N40" i="8" s="1"/>
  <c r="M37" i="8"/>
  <c r="M33" i="8"/>
  <c r="N60" i="8"/>
  <c r="O60" i="8" s="1"/>
  <c r="K66" i="8"/>
  <c r="L66" i="8" s="1"/>
  <c r="M58" i="8"/>
  <c r="N54" i="8"/>
  <c r="O54" i="8" s="1"/>
  <c r="M54" i="8"/>
  <c r="K41" i="8"/>
  <c r="L41" i="8" s="1"/>
  <c r="K34" i="8"/>
  <c r="L34" i="8" s="1"/>
  <c r="N33" i="8"/>
  <c r="O33" i="8" s="1"/>
  <c r="M29" i="8"/>
  <c r="M27" i="8"/>
  <c r="N27" i="8"/>
  <c r="O27" i="8" s="1"/>
  <c r="N62" i="8"/>
  <c r="O62" i="8" s="1"/>
  <c r="N67" i="8"/>
  <c r="N37" i="8"/>
  <c r="O37" i="8" s="1"/>
  <c r="N36" i="8"/>
  <c r="O36" i="8" s="1"/>
  <c r="J71" i="8"/>
  <c r="N16" i="8"/>
  <c r="O16" i="8" s="1"/>
  <c r="N21" i="8"/>
  <c r="O21" i="8" s="1"/>
  <c r="M21" i="8"/>
  <c r="N23" i="8"/>
  <c r="N12" i="8"/>
  <c r="O12" i="8" s="1"/>
  <c r="K11" i="8"/>
  <c r="L11" i="8" s="1"/>
  <c r="N9" i="8"/>
  <c r="O9" i="8" s="1"/>
  <c r="M20" i="8"/>
  <c r="K20" i="8"/>
  <c r="M18" i="8"/>
  <c r="K18" i="8"/>
  <c r="M13" i="8"/>
  <c r="K13" i="8"/>
  <c r="L12" i="8"/>
  <c r="I19" i="8"/>
  <c r="M19" i="8" s="1"/>
  <c r="H8" i="8"/>
  <c r="N14" i="8"/>
  <c r="O14" i="8" s="1"/>
  <c r="E71" i="8"/>
  <c r="L17" i="8"/>
  <c r="N29" i="8"/>
  <c r="O29" i="8" s="1"/>
  <c r="L33" i="8"/>
  <c r="N43" i="8"/>
  <c r="O43" i="8" s="1"/>
  <c r="N47" i="8"/>
  <c r="O47" i="8" s="1"/>
  <c r="N55" i="8"/>
  <c r="O55" i="8" s="1"/>
  <c r="L63" i="8"/>
  <c r="N63" i="8"/>
  <c r="O63" i="8" s="1"/>
  <c r="I52" i="8"/>
  <c r="M52" i="8" s="1"/>
  <c r="N22" i="8"/>
  <c r="I24" i="8"/>
  <c r="M24" i="8" s="1"/>
  <c r="K28" i="8"/>
  <c r="N28" i="8" s="1"/>
  <c r="K31" i="8"/>
  <c r="N31" i="8" s="1"/>
  <c r="H32" i="8"/>
  <c r="K35" i="8"/>
  <c r="L35" i="8" s="1"/>
  <c r="K39" i="8"/>
  <c r="K42" i="8"/>
  <c r="N42" i="8" s="1"/>
  <c r="K45" i="8"/>
  <c r="K49" i="8"/>
  <c r="N49" i="8" s="1"/>
  <c r="K53" i="8"/>
  <c r="N56" i="8"/>
  <c r="O56" i="8" s="1"/>
  <c r="I57" i="8"/>
  <c r="N58" i="8"/>
  <c r="K59" i="8"/>
  <c r="N59" i="8" s="1"/>
  <c r="K61" i="8"/>
  <c r="M63" i="8"/>
  <c r="K65" i="8"/>
  <c r="N70" i="8"/>
  <c r="O70" i="8" s="1"/>
  <c r="H24" i="8"/>
  <c r="I8" i="8"/>
  <c r="M9" i="8"/>
  <c r="K10" i="8"/>
  <c r="N10" i="8" s="1"/>
  <c r="K25" i="8"/>
  <c r="I32" i="8"/>
  <c r="M32" i="8" s="1"/>
  <c r="J30" i="7"/>
  <c r="G30" i="7"/>
  <c r="E30" i="7"/>
  <c r="D30" i="7"/>
  <c r="C30" i="7"/>
  <c r="M48" i="7"/>
  <c r="H48" i="7"/>
  <c r="N48" i="7" s="1"/>
  <c r="O13" i="9" l="1"/>
  <c r="N8" i="9"/>
  <c r="O20" i="9"/>
  <c r="N19" i="9"/>
  <c r="O19" i="9" s="1"/>
  <c r="O53" i="9"/>
  <c r="N52" i="9"/>
  <c r="O52" i="9" s="1"/>
  <c r="O33" i="9"/>
  <c r="N32" i="9"/>
  <c r="O32" i="9" s="1"/>
  <c r="L24" i="9"/>
  <c r="N57" i="9"/>
  <c r="O57" i="9" s="1"/>
  <c r="K71" i="9"/>
  <c r="L71" i="9" s="1"/>
  <c r="M71" i="9"/>
  <c r="N38" i="8"/>
  <c r="O38" i="8" s="1"/>
  <c r="N64" i="8"/>
  <c r="O64" i="8" s="1"/>
  <c r="N34" i="8"/>
  <c r="O34" i="8" s="1"/>
  <c r="N46" i="8"/>
  <c r="O46" i="8" s="1"/>
  <c r="L40" i="8"/>
  <c r="N41" i="8"/>
  <c r="O41" i="8" s="1"/>
  <c r="N66" i="8"/>
  <c r="O66" i="8" s="1"/>
  <c r="K24" i="8"/>
  <c r="L24" i="8" s="1"/>
  <c r="N11" i="8"/>
  <c r="O11" i="8" s="1"/>
  <c r="L61" i="8"/>
  <c r="N61" i="8"/>
  <c r="O61" i="8" s="1"/>
  <c r="N53" i="8"/>
  <c r="L53" i="8"/>
  <c r="K52" i="8"/>
  <c r="L52" i="8" s="1"/>
  <c r="K8" i="8"/>
  <c r="L8" i="8" s="1"/>
  <c r="N25" i="8"/>
  <c r="N24" i="8" s="1"/>
  <c r="O24" i="8" s="1"/>
  <c r="K32" i="8"/>
  <c r="L32" i="8" s="1"/>
  <c r="N65" i="8"/>
  <c r="O65" i="8" s="1"/>
  <c r="L65" i="8"/>
  <c r="O58" i="8"/>
  <c r="N39" i="8"/>
  <c r="O39" i="8" s="1"/>
  <c r="L39" i="8"/>
  <c r="H71" i="8"/>
  <c r="N35" i="8"/>
  <c r="L18" i="8"/>
  <c r="N18" i="8"/>
  <c r="O18" i="8" s="1"/>
  <c r="L20" i="8"/>
  <c r="K19" i="8"/>
  <c r="L19" i="8" s="1"/>
  <c r="N20" i="8"/>
  <c r="N68" i="8"/>
  <c r="O68" i="8" s="1"/>
  <c r="M8" i="8"/>
  <c r="I71" i="8"/>
  <c r="K57" i="8"/>
  <c r="M57" i="8"/>
  <c r="L45" i="8"/>
  <c r="N45" i="8"/>
  <c r="O45" i="8" s="1"/>
  <c r="L13" i="8"/>
  <c r="N13" i="8"/>
  <c r="O13" i="8" s="1"/>
  <c r="N47" i="7"/>
  <c r="M47" i="7"/>
  <c r="H47" i="7"/>
  <c r="M25" i="7"/>
  <c r="H25" i="7"/>
  <c r="N25" i="7" s="1"/>
  <c r="N71" i="9" l="1"/>
  <c r="O71" i="9" s="1"/>
  <c r="O8" i="9"/>
  <c r="M71" i="8"/>
  <c r="K71" i="8"/>
  <c r="L71" i="8" s="1"/>
  <c r="L57" i="8"/>
  <c r="O20" i="8"/>
  <c r="N19" i="8"/>
  <c r="O19" i="8" s="1"/>
  <c r="O53" i="8"/>
  <c r="N52" i="8"/>
  <c r="O52" i="8" s="1"/>
  <c r="O35" i="8"/>
  <c r="N32" i="8"/>
  <c r="O32" i="8" s="1"/>
  <c r="N57" i="8"/>
  <c r="O57" i="8" s="1"/>
  <c r="N8" i="8"/>
  <c r="I64" i="7"/>
  <c r="I56" i="7"/>
  <c r="K56" i="7" s="1"/>
  <c r="I57" i="7"/>
  <c r="I58" i="7"/>
  <c r="M58" i="7" s="1"/>
  <c r="I60" i="7"/>
  <c r="M60" i="7" s="1"/>
  <c r="I61" i="7"/>
  <c r="I63" i="7"/>
  <c r="M63" i="7" s="1"/>
  <c r="I55" i="7"/>
  <c r="I53" i="7"/>
  <c r="I50" i="7"/>
  <c r="M50" i="7" s="1"/>
  <c r="I43" i="7"/>
  <c r="I41" i="7"/>
  <c r="M41" i="7" s="1"/>
  <c r="I38" i="7"/>
  <c r="I37" i="7"/>
  <c r="M37" i="7" s="1"/>
  <c r="I36" i="7"/>
  <c r="M36" i="7" s="1"/>
  <c r="I34" i="7"/>
  <c r="M34" i="7" s="1"/>
  <c r="I28" i="7"/>
  <c r="M28" i="7" s="1"/>
  <c r="I27" i="7"/>
  <c r="M27" i="7" s="1"/>
  <c r="I26" i="7"/>
  <c r="I24" i="7"/>
  <c r="K24" i="7" s="1"/>
  <c r="I35" i="7"/>
  <c r="K35" i="7" s="1"/>
  <c r="I29" i="7"/>
  <c r="K29" i="7" s="1"/>
  <c r="I20" i="7"/>
  <c r="K20" i="7" s="1"/>
  <c r="I21" i="7"/>
  <c r="K21" i="7" s="1"/>
  <c r="I19" i="7"/>
  <c r="I12" i="7"/>
  <c r="K12" i="7" s="1"/>
  <c r="I13" i="7"/>
  <c r="K13" i="7" s="1"/>
  <c r="I14" i="7"/>
  <c r="K14" i="7" s="1"/>
  <c r="I15" i="7"/>
  <c r="K15" i="7" s="1"/>
  <c r="I16" i="7"/>
  <c r="M16" i="7" s="1"/>
  <c r="I17" i="7"/>
  <c r="M17" i="7" s="1"/>
  <c r="I10" i="7"/>
  <c r="M10" i="7" s="1"/>
  <c r="M67" i="7"/>
  <c r="H67" i="7"/>
  <c r="L67" i="7" s="1"/>
  <c r="M66" i="7"/>
  <c r="H66" i="7"/>
  <c r="N66" i="7" s="1"/>
  <c r="L65" i="7"/>
  <c r="K65" i="7"/>
  <c r="J65" i="7"/>
  <c r="M65" i="7" s="1"/>
  <c r="I65" i="7"/>
  <c r="G65" i="7"/>
  <c r="F65" i="7"/>
  <c r="E65" i="7"/>
  <c r="D65" i="7"/>
  <c r="C65" i="7"/>
  <c r="M64" i="7"/>
  <c r="H64" i="7"/>
  <c r="H63" i="7"/>
  <c r="H62" i="7"/>
  <c r="H61" i="7"/>
  <c r="H60" i="7"/>
  <c r="H59" i="7"/>
  <c r="H58" i="7"/>
  <c r="H57" i="7"/>
  <c r="H56" i="7"/>
  <c r="H55" i="7"/>
  <c r="J54" i="7"/>
  <c r="G54" i="7"/>
  <c r="F54" i="7"/>
  <c r="E54" i="7"/>
  <c r="D54" i="7"/>
  <c r="D68" i="7" s="1"/>
  <c r="C54" i="7"/>
  <c r="H53" i="7"/>
  <c r="H52" i="7"/>
  <c r="H51" i="7"/>
  <c r="H50" i="7"/>
  <c r="J49" i="7"/>
  <c r="G49" i="7"/>
  <c r="F49" i="7"/>
  <c r="E49" i="7"/>
  <c r="D49" i="7"/>
  <c r="C49" i="7"/>
  <c r="I46" i="7"/>
  <c r="M46" i="7" s="1"/>
  <c r="H46" i="7"/>
  <c r="I45" i="7"/>
  <c r="M45" i="7" s="1"/>
  <c r="H45" i="7"/>
  <c r="I44" i="7"/>
  <c r="M44" i="7" s="1"/>
  <c r="H44" i="7"/>
  <c r="H43" i="7"/>
  <c r="I42" i="7"/>
  <c r="K42" i="7" s="1"/>
  <c r="H42" i="7"/>
  <c r="H41" i="7"/>
  <c r="I40" i="7"/>
  <c r="M40" i="7" s="1"/>
  <c r="H40" i="7"/>
  <c r="I39" i="7"/>
  <c r="K39" i="7" s="1"/>
  <c r="H39" i="7"/>
  <c r="H38" i="7"/>
  <c r="H37" i="7"/>
  <c r="H36" i="7"/>
  <c r="H35" i="7"/>
  <c r="H34" i="7"/>
  <c r="F33" i="7"/>
  <c r="F30" i="7" s="1"/>
  <c r="H32" i="7"/>
  <c r="H31" i="7"/>
  <c r="H29" i="7"/>
  <c r="H28" i="7"/>
  <c r="H27" i="7"/>
  <c r="H26" i="7"/>
  <c r="H24" i="7"/>
  <c r="J23" i="7"/>
  <c r="G23" i="7"/>
  <c r="F23" i="7"/>
  <c r="E23" i="7"/>
  <c r="D23" i="7"/>
  <c r="C23" i="7"/>
  <c r="H22" i="7"/>
  <c r="H21" i="7"/>
  <c r="H20" i="7"/>
  <c r="H19" i="7"/>
  <c r="J18" i="7"/>
  <c r="G18" i="7"/>
  <c r="F18" i="7"/>
  <c r="E18" i="7"/>
  <c r="D18" i="7"/>
  <c r="C18" i="7"/>
  <c r="H17" i="7"/>
  <c r="H16" i="7"/>
  <c r="H15" i="7"/>
  <c r="H14" i="7"/>
  <c r="M13" i="7"/>
  <c r="H13" i="7"/>
  <c r="H12" i="7"/>
  <c r="H11" i="7"/>
  <c r="H10" i="7"/>
  <c r="J9" i="7"/>
  <c r="J8" i="7" s="1"/>
  <c r="H9" i="7"/>
  <c r="G8" i="7"/>
  <c r="F8" i="7"/>
  <c r="E8" i="7"/>
  <c r="D8" i="7"/>
  <c r="C8" i="7"/>
  <c r="O8" i="8" l="1"/>
  <c r="N71" i="8"/>
  <c r="O71" i="8" s="1"/>
  <c r="H30" i="7"/>
  <c r="K19" i="7"/>
  <c r="L19" i="7" s="1"/>
  <c r="K58" i="7"/>
  <c r="L58" i="7" s="1"/>
  <c r="M19" i="7"/>
  <c r="M29" i="7"/>
  <c r="H33" i="7"/>
  <c r="F68" i="7"/>
  <c r="N42" i="7"/>
  <c r="O42" i="7" s="1"/>
  <c r="E68" i="7"/>
  <c r="M12" i="7"/>
  <c r="K50" i="7"/>
  <c r="L50" i="7" s="1"/>
  <c r="K60" i="7"/>
  <c r="L60" i="7" s="1"/>
  <c r="N67" i="7"/>
  <c r="O67" i="7" s="1"/>
  <c r="J68" i="7"/>
  <c r="M56" i="7"/>
  <c r="H54" i="7"/>
  <c r="L13" i="7"/>
  <c r="M35" i="7"/>
  <c r="L39" i="7"/>
  <c r="L12" i="7"/>
  <c r="M14" i="7"/>
  <c r="M42" i="7"/>
  <c r="K44" i="7"/>
  <c r="L44" i="7" s="1"/>
  <c r="N15" i="7"/>
  <c r="O15" i="7" s="1"/>
  <c r="M39" i="7"/>
  <c r="K17" i="7"/>
  <c r="N17" i="7" s="1"/>
  <c r="O17" i="7" s="1"/>
  <c r="M20" i="7"/>
  <c r="K34" i="7"/>
  <c r="L34" i="7" s="1"/>
  <c r="K45" i="7"/>
  <c r="L45" i="7" s="1"/>
  <c r="K28" i="7"/>
  <c r="L28" i="7" s="1"/>
  <c r="K37" i="7"/>
  <c r="N37" i="7" s="1"/>
  <c r="O37" i="7" s="1"/>
  <c r="N45" i="7"/>
  <c r="O45" i="7" s="1"/>
  <c r="N20" i="7"/>
  <c r="O20" i="7" s="1"/>
  <c r="L35" i="7"/>
  <c r="H23" i="7"/>
  <c r="K63" i="7"/>
  <c r="L63" i="7" s="1"/>
  <c r="N56" i="7"/>
  <c r="K41" i="7"/>
  <c r="L41" i="7" s="1"/>
  <c r="K36" i="7"/>
  <c r="L36" i="7" s="1"/>
  <c r="K27" i="7"/>
  <c r="N27" i="7" s="1"/>
  <c r="M24" i="7"/>
  <c r="N24" i="7"/>
  <c r="M21" i="7"/>
  <c r="N14" i="7"/>
  <c r="O14" i="7" s="1"/>
  <c r="M38" i="7"/>
  <c r="K38" i="7"/>
  <c r="C68" i="7"/>
  <c r="H8" i="7"/>
  <c r="L15" i="7"/>
  <c r="H18" i="7"/>
  <c r="N21" i="7"/>
  <c r="M26" i="7"/>
  <c r="I23" i="7"/>
  <c r="M23" i="7" s="1"/>
  <c r="N39" i="7"/>
  <c r="O39" i="7" s="1"/>
  <c r="L42" i="7"/>
  <c r="N50" i="7"/>
  <c r="M55" i="7"/>
  <c r="K55" i="7"/>
  <c r="G68" i="7"/>
  <c r="K10" i="7"/>
  <c r="N10" i="7" s="1"/>
  <c r="N12" i="7"/>
  <c r="O12" i="7" s="1"/>
  <c r="M43" i="7"/>
  <c r="K43" i="7"/>
  <c r="M57" i="7"/>
  <c r="K57" i="7"/>
  <c r="N13" i="7"/>
  <c r="O13" i="7" s="1"/>
  <c r="L14" i="7"/>
  <c r="M15" i="7"/>
  <c r="K16" i="7"/>
  <c r="L20" i="7"/>
  <c r="K26" i="7"/>
  <c r="N29" i="7"/>
  <c r="N35" i="7"/>
  <c r="O35" i="7" s="1"/>
  <c r="M53" i="7"/>
  <c r="K53" i="7"/>
  <c r="M61" i="7"/>
  <c r="K61" i="7"/>
  <c r="K40" i="7"/>
  <c r="N40" i="7" s="1"/>
  <c r="K46" i="7"/>
  <c r="N46" i="7" s="1"/>
  <c r="H49" i="7"/>
  <c r="K64" i="7"/>
  <c r="N64" i="7" s="1"/>
  <c r="H65" i="7"/>
  <c r="D51" i="6"/>
  <c r="E51" i="6"/>
  <c r="F51" i="6"/>
  <c r="G51" i="6"/>
  <c r="C51" i="6"/>
  <c r="J46" i="6"/>
  <c r="D46" i="6"/>
  <c r="E46" i="6"/>
  <c r="F46" i="6"/>
  <c r="G46" i="6"/>
  <c r="C46" i="6"/>
  <c r="C29" i="6"/>
  <c r="D29" i="6"/>
  <c r="E29" i="6"/>
  <c r="G29" i="6"/>
  <c r="J23" i="6"/>
  <c r="C23" i="6"/>
  <c r="D23" i="6"/>
  <c r="E23" i="6"/>
  <c r="F23" i="6"/>
  <c r="G23" i="6"/>
  <c r="C18" i="6"/>
  <c r="D18" i="6"/>
  <c r="E18" i="6"/>
  <c r="F18" i="6"/>
  <c r="G18" i="6"/>
  <c r="C8" i="6"/>
  <c r="D8" i="6"/>
  <c r="E8" i="6"/>
  <c r="F8" i="6"/>
  <c r="G8" i="6"/>
  <c r="J51" i="6"/>
  <c r="H63" i="6"/>
  <c r="H62" i="6" s="1"/>
  <c r="H64" i="6"/>
  <c r="N64" i="6" s="1"/>
  <c r="O64" i="6" s="1"/>
  <c r="M64" i="6"/>
  <c r="E62" i="6"/>
  <c r="M33" i="6"/>
  <c r="K33" i="6"/>
  <c r="J32" i="6"/>
  <c r="J31" i="6"/>
  <c r="H31" i="6"/>
  <c r="H33" i="6"/>
  <c r="N33" i="6" s="1"/>
  <c r="K26" i="6"/>
  <c r="M26" i="6"/>
  <c r="H26" i="6"/>
  <c r="K20" i="6"/>
  <c r="L20" i="6" s="1"/>
  <c r="M20" i="6"/>
  <c r="J18" i="6"/>
  <c r="H20" i="6"/>
  <c r="M31" i="6" l="1"/>
  <c r="I32" i="7"/>
  <c r="J29" i="6"/>
  <c r="N26" i="6"/>
  <c r="L64" i="6"/>
  <c r="L33" i="6"/>
  <c r="N19" i="7"/>
  <c r="O19" i="7" s="1"/>
  <c r="N58" i="7"/>
  <c r="O58" i="7" s="1"/>
  <c r="N44" i="7"/>
  <c r="O44" i="7" s="1"/>
  <c r="N60" i="7"/>
  <c r="O60" i="7" s="1"/>
  <c r="L37" i="7"/>
  <c r="N65" i="7"/>
  <c r="O65" i="7" s="1"/>
  <c r="L17" i="7"/>
  <c r="N28" i="7"/>
  <c r="O28" i="7" s="1"/>
  <c r="N36" i="7"/>
  <c r="O36" i="7" s="1"/>
  <c r="N34" i="7"/>
  <c r="O34" i="7" s="1"/>
  <c r="N63" i="7"/>
  <c r="O63" i="7" s="1"/>
  <c r="N41" i="7"/>
  <c r="O41" i="7" s="1"/>
  <c r="L26" i="7"/>
  <c r="N26" i="7"/>
  <c r="K23" i="7"/>
  <c r="L23" i="7" s="1"/>
  <c r="O50" i="7"/>
  <c r="L61" i="7"/>
  <c r="N61" i="7"/>
  <c r="O61" i="7" s="1"/>
  <c r="L53" i="7"/>
  <c r="N53" i="7"/>
  <c r="O53" i="7" s="1"/>
  <c r="L16" i="7"/>
  <c r="N16" i="7"/>
  <c r="O16" i="7" s="1"/>
  <c r="L55" i="7"/>
  <c r="N55" i="7"/>
  <c r="L38" i="7"/>
  <c r="N38" i="7"/>
  <c r="L57" i="7"/>
  <c r="N57" i="7"/>
  <c r="O57" i="7" s="1"/>
  <c r="H68" i="7"/>
  <c r="L43" i="7"/>
  <c r="N43" i="7"/>
  <c r="O43" i="7" s="1"/>
  <c r="K31" i="6"/>
  <c r="N20" i="6"/>
  <c r="O20" i="6" s="1"/>
  <c r="K32" i="7" l="1"/>
  <c r="M32" i="7"/>
  <c r="O26" i="7"/>
  <c r="N23" i="7"/>
  <c r="O23" i="7" s="1"/>
  <c r="O55" i="7"/>
  <c r="L31" i="6"/>
  <c r="N31" i="6"/>
  <c r="L32" i="7" l="1"/>
  <c r="N32" i="7"/>
  <c r="I19" i="6"/>
  <c r="K19" i="6" s="1"/>
  <c r="I19" i="4"/>
  <c r="C62" i="6"/>
  <c r="N63" i="6"/>
  <c r="N62" i="6" s="1"/>
  <c r="M63" i="6"/>
  <c r="L62" i="6"/>
  <c r="G62" i="6"/>
  <c r="I62" i="6"/>
  <c r="J62" i="6"/>
  <c r="K62" i="6"/>
  <c r="D62" i="6"/>
  <c r="F62" i="6"/>
  <c r="J9" i="6"/>
  <c r="I53" i="6"/>
  <c r="K53" i="6" s="1"/>
  <c r="I54" i="6"/>
  <c r="K54" i="6" s="1"/>
  <c r="I55" i="6"/>
  <c r="K55" i="6" s="1"/>
  <c r="I57" i="6"/>
  <c r="M57" i="6" s="1"/>
  <c r="I58" i="6"/>
  <c r="M58" i="6" s="1"/>
  <c r="I60" i="6"/>
  <c r="M60" i="6" s="1"/>
  <c r="I52" i="6"/>
  <c r="I50" i="6"/>
  <c r="K50" i="6" s="1"/>
  <c r="I47" i="6"/>
  <c r="I38" i="6"/>
  <c r="I39" i="6"/>
  <c r="K39" i="6" s="1"/>
  <c r="I40" i="6"/>
  <c r="I41" i="6"/>
  <c r="M41" i="6" s="1"/>
  <c r="I42" i="6"/>
  <c r="M42" i="6" s="1"/>
  <c r="I43" i="6"/>
  <c r="M43" i="6" s="1"/>
  <c r="I44" i="6"/>
  <c r="I45" i="6"/>
  <c r="K45" i="6" s="1"/>
  <c r="I34" i="6"/>
  <c r="M34" i="6" s="1"/>
  <c r="I35" i="6"/>
  <c r="I36" i="6"/>
  <c r="M36" i="6" s="1"/>
  <c r="I37" i="6"/>
  <c r="I25" i="6"/>
  <c r="K25" i="6" s="1"/>
  <c r="I27" i="6"/>
  <c r="I28" i="6"/>
  <c r="M28" i="6" s="1"/>
  <c r="I24" i="6"/>
  <c r="I10" i="6"/>
  <c r="M10" i="6" s="1"/>
  <c r="I12" i="6"/>
  <c r="M12" i="6" s="1"/>
  <c r="I13" i="6"/>
  <c r="I14" i="6"/>
  <c r="M14" i="6" s="1"/>
  <c r="I15" i="6"/>
  <c r="I16" i="6"/>
  <c r="K16" i="6" s="1"/>
  <c r="I17" i="6"/>
  <c r="D65" i="6"/>
  <c r="I61" i="6"/>
  <c r="K61" i="6" s="1"/>
  <c r="H61" i="6"/>
  <c r="H60" i="6"/>
  <c r="H59" i="6"/>
  <c r="H58" i="6"/>
  <c r="H57" i="6"/>
  <c r="H56" i="6"/>
  <c r="H55" i="6"/>
  <c r="H54" i="6"/>
  <c r="H53" i="6"/>
  <c r="H52" i="6"/>
  <c r="H51" i="6" s="1"/>
  <c r="H50" i="6"/>
  <c r="H49" i="6"/>
  <c r="H48" i="6"/>
  <c r="H47" i="6"/>
  <c r="H45" i="6"/>
  <c r="K44" i="6"/>
  <c r="H44" i="6"/>
  <c r="H43" i="6"/>
  <c r="H42" i="6"/>
  <c r="H41" i="6"/>
  <c r="H40" i="6"/>
  <c r="H39" i="6"/>
  <c r="H38" i="6"/>
  <c r="H37" i="6"/>
  <c r="H36" i="6"/>
  <c r="H35" i="6"/>
  <c r="H34" i="6"/>
  <c r="F32" i="6"/>
  <c r="H30" i="6"/>
  <c r="H28" i="6"/>
  <c r="H27" i="6"/>
  <c r="H25" i="6"/>
  <c r="H24" i="6"/>
  <c r="H23" i="6" s="1"/>
  <c r="H22" i="6"/>
  <c r="H21" i="6"/>
  <c r="M19" i="6"/>
  <c r="H19" i="6"/>
  <c r="H18" i="6" s="1"/>
  <c r="H17" i="6"/>
  <c r="H16" i="6"/>
  <c r="H15" i="6"/>
  <c r="H14" i="6"/>
  <c r="H13" i="6"/>
  <c r="H12" i="6"/>
  <c r="H11" i="6"/>
  <c r="H10" i="6"/>
  <c r="H9" i="6"/>
  <c r="G65" i="6"/>
  <c r="E65" i="6"/>
  <c r="H8" i="6" l="1"/>
  <c r="H32" i="6"/>
  <c r="F29" i="6"/>
  <c r="K47" i="6"/>
  <c r="L47" i="6" s="1"/>
  <c r="M52" i="6"/>
  <c r="H29" i="6"/>
  <c r="K24" i="6"/>
  <c r="I23" i="6"/>
  <c r="M23" i="6" s="1"/>
  <c r="H46" i="6"/>
  <c r="M62" i="6"/>
  <c r="K28" i="6"/>
  <c r="N28" i="6" s="1"/>
  <c r="M54" i="6"/>
  <c r="C65" i="6"/>
  <c r="M50" i="6"/>
  <c r="K12" i="6"/>
  <c r="L12" i="6" s="1"/>
  <c r="M25" i="6"/>
  <c r="K60" i="6"/>
  <c r="L60" i="6" s="1"/>
  <c r="F65" i="6"/>
  <c r="L50" i="6"/>
  <c r="L54" i="6"/>
  <c r="M16" i="6"/>
  <c r="K14" i="6"/>
  <c r="L14" i="6" s="1"/>
  <c r="K43" i="6"/>
  <c r="L43" i="6" s="1"/>
  <c r="N50" i="6"/>
  <c r="O50" i="6" s="1"/>
  <c r="K10" i="6"/>
  <c r="N10" i="6" s="1"/>
  <c r="K36" i="6"/>
  <c r="N36" i="6" s="1"/>
  <c r="O36" i="6" s="1"/>
  <c r="M39" i="6"/>
  <c r="K57" i="6"/>
  <c r="L57" i="6" s="1"/>
  <c r="N39" i="6"/>
  <c r="K34" i="6"/>
  <c r="L34" i="6" s="1"/>
  <c r="M45" i="6"/>
  <c r="L25" i="6"/>
  <c r="N16" i="6"/>
  <c r="O16" i="6" s="1"/>
  <c r="N54" i="6"/>
  <c r="O54" i="6" s="1"/>
  <c r="K52" i="6"/>
  <c r="L52" i="6" s="1"/>
  <c r="K41" i="6"/>
  <c r="L41" i="6" s="1"/>
  <c r="N45" i="6"/>
  <c r="K13" i="6"/>
  <c r="M13" i="6"/>
  <c r="K27" i="6"/>
  <c r="M27" i="6"/>
  <c r="L16" i="6"/>
  <c r="K17" i="6"/>
  <c r="M17" i="6"/>
  <c r="N19" i="6"/>
  <c r="N25" i="6"/>
  <c r="O25" i="6" s="1"/>
  <c r="M37" i="6"/>
  <c r="K37" i="6"/>
  <c r="K38" i="6"/>
  <c r="M38" i="6"/>
  <c r="N55" i="6"/>
  <c r="O55" i="6" s="1"/>
  <c r="L55" i="6"/>
  <c r="J8" i="6"/>
  <c r="N24" i="6"/>
  <c r="N47" i="6"/>
  <c r="N53" i="6"/>
  <c r="N61" i="6"/>
  <c r="L19" i="6"/>
  <c r="N44" i="6"/>
  <c r="O44" i="6" s="1"/>
  <c r="L44" i="6"/>
  <c r="M15" i="6"/>
  <c r="K15" i="6"/>
  <c r="M24" i="6"/>
  <c r="K35" i="6"/>
  <c r="M35" i="6"/>
  <c r="K40" i="6"/>
  <c r="M40" i="6"/>
  <c r="M53" i="6"/>
  <c r="M61" i="6"/>
  <c r="K42" i="6"/>
  <c r="M44" i="6"/>
  <c r="M47" i="6"/>
  <c r="M55" i="6"/>
  <c r="K58" i="6"/>
  <c r="H65" i="6" l="1"/>
  <c r="K23" i="6"/>
  <c r="L23" i="6" s="1"/>
  <c r="J65" i="6"/>
  <c r="L36" i="6"/>
  <c r="N14" i="6"/>
  <c r="O14" i="6" s="1"/>
  <c r="N12" i="6"/>
  <c r="O12" i="6" s="1"/>
  <c r="N60" i="6"/>
  <c r="O60" i="6" s="1"/>
  <c r="G68" i="6"/>
  <c r="N34" i="6"/>
  <c r="O34" i="6" s="1"/>
  <c r="N57" i="6"/>
  <c r="O57" i="6" s="1"/>
  <c r="N43" i="6"/>
  <c r="O43" i="6" s="1"/>
  <c r="N52" i="6"/>
  <c r="N41" i="6"/>
  <c r="O41" i="6" s="1"/>
  <c r="L58" i="6"/>
  <c r="N58" i="6"/>
  <c r="O58" i="6" s="1"/>
  <c r="N15" i="6"/>
  <c r="O15" i="6" s="1"/>
  <c r="L15" i="6"/>
  <c r="N42" i="6"/>
  <c r="O42" i="6" s="1"/>
  <c r="L42" i="6"/>
  <c r="L40" i="6"/>
  <c r="N40" i="6"/>
  <c r="O40" i="6" s="1"/>
  <c r="L38" i="6"/>
  <c r="N38" i="6"/>
  <c r="O38" i="6" s="1"/>
  <c r="N17" i="6"/>
  <c r="O17" i="6" s="1"/>
  <c r="L17" i="6"/>
  <c r="L13" i="6"/>
  <c r="N13" i="6"/>
  <c r="O13" i="6" s="1"/>
  <c r="N37" i="6"/>
  <c r="L37" i="6"/>
  <c r="N35" i="6"/>
  <c r="O35" i="6" s="1"/>
  <c r="L35" i="6"/>
  <c r="O47" i="6"/>
  <c r="O19" i="6"/>
  <c r="L27" i="6"/>
  <c r="N27" i="6"/>
  <c r="O27" i="6" s="1"/>
  <c r="J55" i="5"/>
  <c r="J52" i="5"/>
  <c r="J45" i="5"/>
  <c r="J44" i="5"/>
  <c r="J29" i="5"/>
  <c r="F29" i="5"/>
  <c r="J28" i="5"/>
  <c r="J11" i="5"/>
  <c r="J9" i="5"/>
  <c r="I9" i="7" l="1"/>
  <c r="I9" i="6"/>
  <c r="I33" i="7"/>
  <c r="I32" i="6"/>
  <c r="I62" i="7"/>
  <c r="I59" i="6"/>
  <c r="N23" i="6"/>
  <c r="O23" i="6" s="1"/>
  <c r="I59" i="7"/>
  <c r="I56" i="6"/>
  <c r="I11" i="7"/>
  <c r="I11" i="6"/>
  <c r="I51" i="7"/>
  <c r="I48" i="6"/>
  <c r="I31" i="7"/>
  <c r="I30" i="6"/>
  <c r="I52" i="7"/>
  <c r="I49" i="6"/>
  <c r="O52" i="6"/>
  <c r="I57" i="5"/>
  <c r="I49" i="5"/>
  <c r="I50" i="5"/>
  <c r="K50" i="5" s="1"/>
  <c r="L50" i="5" s="1"/>
  <c r="I51" i="5"/>
  <c r="M51" i="5" s="1"/>
  <c r="I52" i="5"/>
  <c r="M52" i="5" s="1"/>
  <c r="I53" i="5"/>
  <c r="I54" i="5"/>
  <c r="M54" i="5" s="1"/>
  <c r="I55" i="5"/>
  <c r="I56" i="5"/>
  <c r="K56" i="5" s="1"/>
  <c r="I48" i="5"/>
  <c r="I44" i="5"/>
  <c r="M44" i="5" s="1"/>
  <c r="I45" i="5"/>
  <c r="I46" i="5"/>
  <c r="I37" i="5"/>
  <c r="I38" i="5"/>
  <c r="K38" i="5" s="1"/>
  <c r="L38" i="5" s="1"/>
  <c r="I39" i="5"/>
  <c r="M39" i="5" s="1"/>
  <c r="I40" i="5"/>
  <c r="K40" i="5" s="1"/>
  <c r="I41" i="5"/>
  <c r="I29" i="5"/>
  <c r="M29" i="5" s="1"/>
  <c r="I30" i="5"/>
  <c r="M30" i="5" s="1"/>
  <c r="I31" i="5"/>
  <c r="I32" i="5"/>
  <c r="I33" i="5"/>
  <c r="M33" i="5" s="1"/>
  <c r="I34" i="5"/>
  <c r="K34" i="5" s="1"/>
  <c r="I35" i="5"/>
  <c r="I36" i="5"/>
  <c r="I28" i="5"/>
  <c r="K28" i="5" s="1"/>
  <c r="L28" i="5" s="1"/>
  <c r="I24" i="5"/>
  <c r="K24" i="5" s="1"/>
  <c r="I25" i="5"/>
  <c r="I26" i="5"/>
  <c r="K26" i="5" s="1"/>
  <c r="I23" i="5"/>
  <c r="M23" i="5" s="1"/>
  <c r="I20" i="5"/>
  <c r="I21" i="6" s="1"/>
  <c r="I21" i="5"/>
  <c r="I19" i="5"/>
  <c r="I17" i="5"/>
  <c r="K17" i="5" s="1"/>
  <c r="I10" i="5"/>
  <c r="I11" i="5"/>
  <c r="I12" i="5"/>
  <c r="K12" i="5" s="1"/>
  <c r="I13" i="5"/>
  <c r="K13" i="5" s="1"/>
  <c r="L13" i="5" s="1"/>
  <c r="I14" i="5"/>
  <c r="I15" i="5"/>
  <c r="I16" i="5"/>
  <c r="K16" i="5" s="1"/>
  <c r="I9" i="5"/>
  <c r="M9" i="5" s="1"/>
  <c r="I43" i="5"/>
  <c r="D58" i="5"/>
  <c r="K57" i="5"/>
  <c r="H57" i="5"/>
  <c r="M56" i="5"/>
  <c r="H56" i="5"/>
  <c r="M55" i="5"/>
  <c r="K55" i="5"/>
  <c r="L55" i="5" s="1"/>
  <c r="H55" i="5"/>
  <c r="H54" i="5"/>
  <c r="K53" i="5"/>
  <c r="H53" i="5"/>
  <c r="K52" i="5"/>
  <c r="H52" i="5"/>
  <c r="H51" i="5"/>
  <c r="H50" i="5"/>
  <c r="M49" i="5"/>
  <c r="K49" i="5"/>
  <c r="H49" i="5"/>
  <c r="M48" i="5"/>
  <c r="K48" i="5"/>
  <c r="L48" i="5" s="1"/>
  <c r="H48" i="5"/>
  <c r="J47" i="5"/>
  <c r="F47" i="5"/>
  <c r="E47" i="5"/>
  <c r="C47" i="5"/>
  <c r="M46" i="5"/>
  <c r="K46" i="5"/>
  <c r="H46" i="5"/>
  <c r="M45" i="5"/>
  <c r="K45" i="5"/>
  <c r="L45" i="5" s="1"/>
  <c r="H45" i="5"/>
  <c r="K44" i="5"/>
  <c r="L44" i="5" s="1"/>
  <c r="H44" i="5"/>
  <c r="K43" i="5"/>
  <c r="H43" i="5"/>
  <c r="J42" i="5"/>
  <c r="G42" i="5"/>
  <c r="F42" i="5"/>
  <c r="E42" i="5"/>
  <c r="C42" i="5"/>
  <c r="M41" i="5"/>
  <c r="K41" i="5"/>
  <c r="H41" i="5"/>
  <c r="H40" i="5"/>
  <c r="H39" i="5"/>
  <c r="H38" i="5"/>
  <c r="K37" i="5"/>
  <c r="M37" i="5"/>
  <c r="H37" i="5"/>
  <c r="K36" i="5"/>
  <c r="H36" i="5"/>
  <c r="K35" i="5"/>
  <c r="M35" i="5"/>
  <c r="H35" i="5"/>
  <c r="H34" i="5"/>
  <c r="K33" i="5"/>
  <c r="L33" i="5" s="1"/>
  <c r="H33" i="5"/>
  <c r="K32" i="5"/>
  <c r="M32" i="5"/>
  <c r="H32" i="5"/>
  <c r="K31" i="5"/>
  <c r="H31" i="5"/>
  <c r="H30" i="5"/>
  <c r="K29" i="5"/>
  <c r="L29" i="5" s="1"/>
  <c r="H29" i="5"/>
  <c r="H28" i="5"/>
  <c r="J27" i="5"/>
  <c r="G27" i="5"/>
  <c r="F27" i="5"/>
  <c r="E27" i="5"/>
  <c r="C27" i="5"/>
  <c r="M26" i="5"/>
  <c r="H26" i="5"/>
  <c r="K25" i="5"/>
  <c r="L25" i="5" s="1"/>
  <c r="M25" i="5"/>
  <c r="H25" i="5"/>
  <c r="H24" i="5"/>
  <c r="K23" i="5"/>
  <c r="H23" i="5"/>
  <c r="J22" i="5"/>
  <c r="G22" i="5"/>
  <c r="F22" i="5"/>
  <c r="E22" i="5"/>
  <c r="C22" i="5"/>
  <c r="K21" i="5"/>
  <c r="H21" i="5"/>
  <c r="M20" i="5"/>
  <c r="K20" i="5"/>
  <c r="H20" i="5"/>
  <c r="N20" i="5" s="1"/>
  <c r="M19" i="5"/>
  <c r="K19" i="5"/>
  <c r="H19" i="5"/>
  <c r="J18" i="5"/>
  <c r="G18" i="5"/>
  <c r="F18" i="5"/>
  <c r="E18" i="5"/>
  <c r="C18" i="5"/>
  <c r="H17" i="5"/>
  <c r="H16" i="5"/>
  <c r="M15" i="5"/>
  <c r="K15" i="5"/>
  <c r="H15" i="5"/>
  <c r="M14" i="5"/>
  <c r="K14" i="5"/>
  <c r="H14" i="5"/>
  <c r="L14" i="5" s="1"/>
  <c r="H13" i="5"/>
  <c r="H12" i="5"/>
  <c r="M11" i="5"/>
  <c r="K11" i="5"/>
  <c r="H11" i="5"/>
  <c r="N11" i="5" s="1"/>
  <c r="O11" i="5" s="1"/>
  <c r="K10" i="5"/>
  <c r="H10" i="5"/>
  <c r="H9" i="5"/>
  <c r="J8" i="5"/>
  <c r="G8" i="5"/>
  <c r="F8" i="5"/>
  <c r="E8" i="5"/>
  <c r="D8" i="5"/>
  <c r="C8" i="5"/>
  <c r="C58" i="5" s="1"/>
  <c r="M30" i="6" l="1"/>
  <c r="I29" i="6"/>
  <c r="M29" i="6" s="1"/>
  <c r="K30" i="6"/>
  <c r="L15" i="5"/>
  <c r="M17" i="5"/>
  <c r="H22" i="5"/>
  <c r="M28" i="5"/>
  <c r="L37" i="5"/>
  <c r="M38" i="5"/>
  <c r="N45" i="5"/>
  <c r="O45" i="5" s="1"/>
  <c r="L46" i="5"/>
  <c r="L52" i="5"/>
  <c r="K54" i="5"/>
  <c r="L54" i="5" s="1"/>
  <c r="M31" i="7"/>
  <c r="I30" i="7"/>
  <c r="M30" i="7" s="1"/>
  <c r="K31" i="7"/>
  <c r="M11" i="7"/>
  <c r="K11" i="7"/>
  <c r="K59" i="6"/>
  <c r="M59" i="6"/>
  <c r="M33" i="7"/>
  <c r="K33" i="7"/>
  <c r="M32" i="6"/>
  <c r="K32" i="6"/>
  <c r="G58" i="5"/>
  <c r="N23" i="5"/>
  <c r="L32" i="5"/>
  <c r="N38" i="5"/>
  <c r="O38" i="5" s="1"/>
  <c r="M50" i="5"/>
  <c r="M21" i="5"/>
  <c r="I22" i="7"/>
  <c r="I22" i="6"/>
  <c r="L56" i="5"/>
  <c r="K49" i="6"/>
  <c r="M49" i="6"/>
  <c r="K48" i="6"/>
  <c r="I46" i="6"/>
  <c r="M46" i="6" s="1"/>
  <c r="M48" i="6"/>
  <c r="K56" i="6"/>
  <c r="M56" i="6"/>
  <c r="I51" i="6"/>
  <c r="M62" i="7"/>
  <c r="K62" i="7"/>
  <c r="M9" i="6"/>
  <c r="K9" i="6"/>
  <c r="I8" i="6"/>
  <c r="M11" i="6"/>
  <c r="K11" i="6"/>
  <c r="L11" i="5"/>
  <c r="M13" i="5"/>
  <c r="H18" i="5"/>
  <c r="N21" i="5"/>
  <c r="N48" i="5"/>
  <c r="K21" i="6"/>
  <c r="M21" i="6"/>
  <c r="M52" i="7"/>
  <c r="K52" i="7"/>
  <c r="K51" i="7"/>
  <c r="M51" i="7"/>
  <c r="I49" i="7"/>
  <c r="M49" i="7" s="1"/>
  <c r="K59" i="7"/>
  <c r="M59" i="7"/>
  <c r="I54" i="7"/>
  <c r="K9" i="7"/>
  <c r="I8" i="7"/>
  <c r="M9" i="7"/>
  <c r="L17" i="5"/>
  <c r="H8" i="5"/>
  <c r="L19" i="5"/>
  <c r="E58" i="5"/>
  <c r="N54" i="5"/>
  <c r="O54" i="5" s="1"/>
  <c r="N44" i="5"/>
  <c r="O44" i="5" s="1"/>
  <c r="N33" i="5"/>
  <c r="F58" i="5"/>
  <c r="G61" i="5" s="1"/>
  <c r="N29" i="5"/>
  <c r="O29" i="5" s="1"/>
  <c r="N14" i="5"/>
  <c r="O14" i="5" s="1"/>
  <c r="N15" i="5"/>
  <c r="O15" i="5" s="1"/>
  <c r="J58" i="5"/>
  <c r="N50" i="5"/>
  <c r="O50" i="5" s="1"/>
  <c r="N56" i="5"/>
  <c r="O56" i="5" s="1"/>
  <c r="N52" i="5"/>
  <c r="O52" i="5" s="1"/>
  <c r="N55" i="5"/>
  <c r="O55" i="5" s="1"/>
  <c r="N46" i="5"/>
  <c r="O46" i="5" s="1"/>
  <c r="K39" i="5"/>
  <c r="L39" i="5" s="1"/>
  <c r="N41" i="5"/>
  <c r="N39" i="5"/>
  <c r="O39" i="5" s="1"/>
  <c r="K30" i="5"/>
  <c r="L30" i="5" s="1"/>
  <c r="N35" i="5"/>
  <c r="N26" i="5"/>
  <c r="M18" i="5"/>
  <c r="K18" i="5"/>
  <c r="L18" i="5" s="1"/>
  <c r="N19" i="5"/>
  <c r="K9" i="5"/>
  <c r="K8" i="5" s="1"/>
  <c r="N34" i="5"/>
  <c r="O34" i="5" s="1"/>
  <c r="L34" i="5"/>
  <c r="N53" i="5"/>
  <c r="O53" i="5" s="1"/>
  <c r="L53" i="5"/>
  <c r="N36" i="5"/>
  <c r="O36" i="5" s="1"/>
  <c r="L36" i="5"/>
  <c r="N10" i="5"/>
  <c r="K22" i="5"/>
  <c r="L22" i="5" s="1"/>
  <c r="O48" i="5"/>
  <c r="N49" i="5"/>
  <c r="N57" i="5"/>
  <c r="L24" i="5"/>
  <c r="N24" i="5"/>
  <c r="O24" i="5" s="1"/>
  <c r="L43" i="5"/>
  <c r="K42" i="5"/>
  <c r="N43" i="5"/>
  <c r="N12" i="5"/>
  <c r="O12" i="5" s="1"/>
  <c r="L12" i="5"/>
  <c r="N16" i="5"/>
  <c r="O16" i="5" s="1"/>
  <c r="L16" i="5"/>
  <c r="N31" i="5"/>
  <c r="O31" i="5" s="1"/>
  <c r="L31" i="5"/>
  <c r="N40" i="5"/>
  <c r="O40" i="5" s="1"/>
  <c r="L40" i="5"/>
  <c r="M10" i="5"/>
  <c r="H27" i="5"/>
  <c r="H58" i="5" s="1"/>
  <c r="H47" i="5"/>
  <c r="M57" i="5"/>
  <c r="M12" i="5"/>
  <c r="N13" i="5"/>
  <c r="O13" i="5" s="1"/>
  <c r="M16" i="5"/>
  <c r="N17" i="5"/>
  <c r="O17" i="5" s="1"/>
  <c r="I22" i="5"/>
  <c r="M22" i="5" s="1"/>
  <c r="M24" i="5"/>
  <c r="N25" i="5"/>
  <c r="O25" i="5" s="1"/>
  <c r="I27" i="5"/>
  <c r="N28" i="5"/>
  <c r="M31" i="5"/>
  <c r="N32" i="5"/>
  <c r="O32" i="5" s="1"/>
  <c r="M34" i="5"/>
  <c r="M36" i="5"/>
  <c r="N37" i="5"/>
  <c r="O37" i="5" s="1"/>
  <c r="M40" i="5"/>
  <c r="H42" i="5"/>
  <c r="M43" i="5"/>
  <c r="I47" i="5"/>
  <c r="M47" i="5" s="1"/>
  <c r="K51" i="5"/>
  <c r="L51" i="5" s="1"/>
  <c r="M53" i="5"/>
  <c r="I42" i="5"/>
  <c r="M42" i="5" s="1"/>
  <c r="I8" i="5"/>
  <c r="I49" i="4"/>
  <c r="M49" i="4" s="1"/>
  <c r="I50" i="4"/>
  <c r="K50" i="4" s="1"/>
  <c r="I51" i="4"/>
  <c r="M51" i="4" s="1"/>
  <c r="I52" i="4"/>
  <c r="M52" i="4" s="1"/>
  <c r="I53" i="4"/>
  <c r="M53" i="4" s="1"/>
  <c r="I54" i="4"/>
  <c r="M54" i="4" s="1"/>
  <c r="I55" i="4"/>
  <c r="M55" i="4" s="1"/>
  <c r="I56" i="4"/>
  <c r="M56" i="4" s="1"/>
  <c r="I57" i="4"/>
  <c r="M57" i="4" s="1"/>
  <c r="I48" i="4"/>
  <c r="K48" i="4" s="1"/>
  <c r="I44" i="4"/>
  <c r="K44" i="4" s="1"/>
  <c r="L44" i="4" s="1"/>
  <c r="I45" i="4"/>
  <c r="I46" i="4"/>
  <c r="M46" i="4" s="1"/>
  <c r="I43" i="4"/>
  <c r="M43" i="4" s="1"/>
  <c r="I41" i="4"/>
  <c r="K41" i="4" s="1"/>
  <c r="I39" i="4"/>
  <c r="K39" i="4" s="1"/>
  <c r="I40" i="4"/>
  <c r="K40" i="4" s="1"/>
  <c r="I30" i="4"/>
  <c r="K30" i="4" s="1"/>
  <c r="I31" i="4"/>
  <c r="K31" i="4" s="1"/>
  <c r="I32" i="4"/>
  <c r="K32" i="4" s="1"/>
  <c r="I33" i="4"/>
  <c r="M33" i="4" s="1"/>
  <c r="I34" i="4"/>
  <c r="K34" i="4" s="1"/>
  <c r="I35" i="4"/>
  <c r="K35" i="4" s="1"/>
  <c r="I36" i="4"/>
  <c r="K36" i="4" s="1"/>
  <c r="I37" i="4"/>
  <c r="M37" i="4" s="1"/>
  <c r="I38" i="4"/>
  <c r="M38" i="4" s="1"/>
  <c r="I29" i="4"/>
  <c r="M29" i="4" s="1"/>
  <c r="I28" i="4"/>
  <c r="K28" i="4" s="1"/>
  <c r="I24" i="4"/>
  <c r="K24" i="4" s="1"/>
  <c r="I25" i="4"/>
  <c r="M25" i="4" s="1"/>
  <c r="I26" i="4"/>
  <c r="K26" i="4" s="1"/>
  <c r="I23" i="4"/>
  <c r="K23" i="4" s="1"/>
  <c r="I10" i="4"/>
  <c r="I11" i="4"/>
  <c r="M11" i="4" s="1"/>
  <c r="I12" i="4"/>
  <c r="K12" i="4" s="1"/>
  <c r="I13" i="4"/>
  <c r="M13" i="4" s="1"/>
  <c r="I14" i="4"/>
  <c r="M14" i="4" s="1"/>
  <c r="I15" i="4"/>
  <c r="M15" i="4" s="1"/>
  <c r="I16" i="4"/>
  <c r="K16" i="4" s="1"/>
  <c r="I17" i="4"/>
  <c r="M17" i="4" s="1"/>
  <c r="I20" i="4"/>
  <c r="M20" i="4" s="1"/>
  <c r="I21" i="4"/>
  <c r="M21" i="4" s="1"/>
  <c r="I9" i="4"/>
  <c r="M9" i="4" s="1"/>
  <c r="D58" i="4"/>
  <c r="H57" i="4"/>
  <c r="H56" i="4"/>
  <c r="H55" i="4"/>
  <c r="K54" i="4"/>
  <c r="H54" i="4"/>
  <c r="K53" i="4"/>
  <c r="H53" i="4"/>
  <c r="H52" i="4"/>
  <c r="H51" i="4"/>
  <c r="M50" i="4"/>
  <c r="H50" i="4"/>
  <c r="K49" i="4"/>
  <c r="H49" i="4"/>
  <c r="H48" i="4"/>
  <c r="J47" i="4"/>
  <c r="F47" i="4"/>
  <c r="E47" i="4"/>
  <c r="C47" i="4"/>
  <c r="H46" i="4"/>
  <c r="M45" i="4"/>
  <c r="K45" i="4"/>
  <c r="H45" i="4"/>
  <c r="M44" i="4"/>
  <c r="H44" i="4"/>
  <c r="K43" i="4"/>
  <c r="H43" i="4"/>
  <c r="J42" i="4"/>
  <c r="G42" i="4"/>
  <c r="F42" i="4"/>
  <c r="E42" i="4"/>
  <c r="C42" i="4"/>
  <c r="H41" i="4"/>
  <c r="M40" i="4"/>
  <c r="H40" i="4"/>
  <c r="M39" i="4"/>
  <c r="H39" i="4"/>
  <c r="H38" i="4"/>
  <c r="H37" i="4"/>
  <c r="M36" i="4"/>
  <c r="H36" i="4"/>
  <c r="M35" i="4"/>
  <c r="H35" i="4"/>
  <c r="H34" i="4"/>
  <c r="K33" i="4"/>
  <c r="H33" i="4"/>
  <c r="H32" i="4"/>
  <c r="H31" i="4"/>
  <c r="H30" i="4"/>
  <c r="K29" i="4"/>
  <c r="H29" i="4"/>
  <c r="H28" i="4"/>
  <c r="J27" i="4"/>
  <c r="G27" i="4"/>
  <c r="F27" i="4"/>
  <c r="E27" i="4"/>
  <c r="C27" i="4"/>
  <c r="M26" i="4"/>
  <c r="H26" i="4"/>
  <c r="K25" i="4"/>
  <c r="H25" i="4"/>
  <c r="H24" i="4"/>
  <c r="H23" i="4"/>
  <c r="J22" i="4"/>
  <c r="G22" i="4"/>
  <c r="F22" i="4"/>
  <c r="E22" i="4"/>
  <c r="C22" i="4"/>
  <c r="H21" i="4"/>
  <c r="H20" i="4"/>
  <c r="M19" i="4"/>
  <c r="K19" i="4"/>
  <c r="H19" i="4"/>
  <c r="J18" i="4"/>
  <c r="G18" i="4"/>
  <c r="F18" i="4"/>
  <c r="E18" i="4"/>
  <c r="C18" i="4"/>
  <c r="H17" i="4"/>
  <c r="H16" i="4"/>
  <c r="H15" i="4"/>
  <c r="K14" i="4"/>
  <c r="H14" i="4"/>
  <c r="H13" i="4"/>
  <c r="H12" i="4"/>
  <c r="K11" i="4"/>
  <c r="H11" i="4"/>
  <c r="M10" i="4"/>
  <c r="K10" i="4"/>
  <c r="H10" i="4"/>
  <c r="H9" i="4"/>
  <c r="J8" i="4"/>
  <c r="G8" i="4"/>
  <c r="F8" i="4"/>
  <c r="E8" i="4"/>
  <c r="D8" i="4"/>
  <c r="C8" i="4"/>
  <c r="L50" i="4" l="1"/>
  <c r="M54" i="7"/>
  <c r="K54" i="7"/>
  <c r="L62" i="7"/>
  <c r="N62" i="7"/>
  <c r="O62" i="7" s="1"/>
  <c r="L56" i="6"/>
  <c r="N56" i="6"/>
  <c r="M22" i="7"/>
  <c r="I18" i="7"/>
  <c r="M18" i="7" s="1"/>
  <c r="K22" i="7"/>
  <c r="L59" i="6"/>
  <c r="N59" i="6"/>
  <c r="O59" i="6" s="1"/>
  <c r="N30" i="6"/>
  <c r="L30" i="6"/>
  <c r="K29" i="6"/>
  <c r="L29" i="6" s="1"/>
  <c r="K8" i="7"/>
  <c r="L8" i="7" s="1"/>
  <c r="L9" i="7"/>
  <c r="N9" i="7"/>
  <c r="L11" i="6"/>
  <c r="N11" i="6"/>
  <c r="O11" i="6" s="1"/>
  <c r="N48" i="6"/>
  <c r="L48" i="6"/>
  <c r="K46" i="6"/>
  <c r="L46" i="6" s="1"/>
  <c r="L31" i="7"/>
  <c r="K30" i="7"/>
  <c r="L30" i="7" s="1"/>
  <c r="N31" i="7"/>
  <c r="M31" i="4"/>
  <c r="M12" i="4"/>
  <c r="M8" i="4" s="1"/>
  <c r="M34" i="4"/>
  <c r="M41" i="4"/>
  <c r="L51" i="7"/>
  <c r="N51" i="7"/>
  <c r="K49" i="7"/>
  <c r="L49" i="7" s="1"/>
  <c r="N21" i="6"/>
  <c r="M8" i="6"/>
  <c r="N49" i="6"/>
  <c r="O49" i="6" s="1"/>
  <c r="L49" i="6"/>
  <c r="L33" i="7"/>
  <c r="N33" i="7"/>
  <c r="O33" i="7" s="1"/>
  <c r="N11" i="7"/>
  <c r="O11" i="7" s="1"/>
  <c r="L11" i="7"/>
  <c r="K22" i="6"/>
  <c r="N22" i="6" s="1"/>
  <c r="M22" i="6"/>
  <c r="L32" i="6"/>
  <c r="N32" i="6"/>
  <c r="O32" i="6" s="1"/>
  <c r="M16" i="4"/>
  <c r="K15" i="4"/>
  <c r="M30" i="4"/>
  <c r="L54" i="4"/>
  <c r="N18" i="5"/>
  <c r="O18" i="5" s="1"/>
  <c r="I68" i="7"/>
  <c r="M8" i="7"/>
  <c r="M68" i="7" s="1"/>
  <c r="N59" i="7"/>
  <c r="L59" i="7"/>
  <c r="L52" i="7"/>
  <c r="N52" i="7"/>
  <c r="O52" i="7" s="1"/>
  <c r="L9" i="6"/>
  <c r="K8" i="6"/>
  <c r="L8" i="6" s="1"/>
  <c r="N9" i="6"/>
  <c r="K51" i="6"/>
  <c r="M51" i="6"/>
  <c r="L8" i="5"/>
  <c r="O19" i="5"/>
  <c r="K27" i="5"/>
  <c r="L27" i="5" s="1"/>
  <c r="M27" i="5"/>
  <c r="N30" i="5"/>
  <c r="O30" i="5" s="1"/>
  <c r="M8" i="5"/>
  <c r="L9" i="5"/>
  <c r="N9" i="5"/>
  <c r="N8" i="5" s="1"/>
  <c r="O8" i="5" s="1"/>
  <c r="O43" i="5"/>
  <c r="N42" i="5"/>
  <c r="O42" i="5" s="1"/>
  <c r="N51" i="5"/>
  <c r="N22" i="5"/>
  <c r="O22" i="5" s="1"/>
  <c r="K47" i="5"/>
  <c r="O28" i="5"/>
  <c r="L42" i="5"/>
  <c r="O9" i="5"/>
  <c r="K9" i="4"/>
  <c r="K38" i="4"/>
  <c r="M23" i="4"/>
  <c r="M48" i="4"/>
  <c r="K37" i="4"/>
  <c r="L37" i="4" s="1"/>
  <c r="L45" i="4"/>
  <c r="L48" i="4"/>
  <c r="L29" i="4"/>
  <c r="L34" i="4"/>
  <c r="L40" i="4"/>
  <c r="K57" i="4"/>
  <c r="N57" i="4" s="1"/>
  <c r="L36" i="4"/>
  <c r="L39" i="4"/>
  <c r="L14" i="4"/>
  <c r="E58" i="4"/>
  <c r="L33" i="4"/>
  <c r="L38" i="4"/>
  <c r="L53" i="4"/>
  <c r="M24" i="4"/>
  <c r="L16" i="4"/>
  <c r="L12" i="4"/>
  <c r="L31" i="4"/>
  <c r="N43" i="4"/>
  <c r="O43" i="4" s="1"/>
  <c r="N33" i="4"/>
  <c r="M28" i="4"/>
  <c r="M18" i="4"/>
  <c r="L24" i="4"/>
  <c r="H18" i="4"/>
  <c r="F58" i="4"/>
  <c r="N38" i="4"/>
  <c r="O38" i="4" s="1"/>
  <c r="N37" i="4"/>
  <c r="O37" i="4" s="1"/>
  <c r="K52" i="4"/>
  <c r="L52" i="4" s="1"/>
  <c r="K56" i="4"/>
  <c r="L56" i="4" s="1"/>
  <c r="K51" i="4"/>
  <c r="L51" i="4" s="1"/>
  <c r="K55" i="4"/>
  <c r="L55" i="4" s="1"/>
  <c r="I47" i="4"/>
  <c r="M47" i="4" s="1"/>
  <c r="N49" i="4"/>
  <c r="N48" i="4"/>
  <c r="O48" i="4" s="1"/>
  <c r="N56" i="4"/>
  <c r="O56" i="4" s="1"/>
  <c r="N50" i="4"/>
  <c r="O50" i="4" s="1"/>
  <c r="N54" i="4"/>
  <c r="O54" i="4" s="1"/>
  <c r="N53" i="4"/>
  <c r="O53" i="4" s="1"/>
  <c r="N44" i="4"/>
  <c r="O44" i="4" s="1"/>
  <c r="N45" i="4"/>
  <c r="O45" i="4" s="1"/>
  <c r="K46" i="4"/>
  <c r="L46" i="4" s="1"/>
  <c r="I42" i="4"/>
  <c r="M42" i="4" s="1"/>
  <c r="N41" i="4"/>
  <c r="N39" i="4"/>
  <c r="O39" i="4" s="1"/>
  <c r="N40" i="4"/>
  <c r="O40" i="4" s="1"/>
  <c r="I27" i="4"/>
  <c r="L30" i="4"/>
  <c r="M32" i="4"/>
  <c r="N34" i="4"/>
  <c r="O34" i="4" s="1"/>
  <c r="L32" i="4"/>
  <c r="K27" i="4"/>
  <c r="N31" i="4"/>
  <c r="O31" i="4" s="1"/>
  <c r="N35" i="4"/>
  <c r="N36" i="4"/>
  <c r="O36" i="4" s="1"/>
  <c r="N29" i="4"/>
  <c r="O29" i="4" s="1"/>
  <c r="M27" i="4"/>
  <c r="L28" i="4"/>
  <c r="L25" i="4"/>
  <c r="K22" i="4"/>
  <c r="N26" i="4"/>
  <c r="I22" i="4"/>
  <c r="M22" i="4" s="1"/>
  <c r="K21" i="4"/>
  <c r="I8" i="4"/>
  <c r="N12" i="4"/>
  <c r="O12" i="4" s="1"/>
  <c r="K13" i="4"/>
  <c r="L13" i="4" s="1"/>
  <c r="K17" i="4"/>
  <c r="L17" i="4" s="1"/>
  <c r="N19" i="4"/>
  <c r="O19" i="4" s="1"/>
  <c r="K20" i="4"/>
  <c r="N20" i="4" s="1"/>
  <c r="N10" i="4"/>
  <c r="L11" i="4"/>
  <c r="L15" i="4"/>
  <c r="L9" i="4"/>
  <c r="N16" i="4"/>
  <c r="O16" i="4" s="1"/>
  <c r="N24" i="4"/>
  <c r="O24" i="4" s="1"/>
  <c r="L19" i="4"/>
  <c r="N14" i="4"/>
  <c r="O14" i="4" s="1"/>
  <c r="G58" i="4"/>
  <c r="C58" i="4"/>
  <c r="N9" i="4"/>
  <c r="N11" i="4"/>
  <c r="O11" i="4" s="1"/>
  <c r="H27" i="4"/>
  <c r="N28" i="4"/>
  <c r="L43" i="4"/>
  <c r="H47" i="4"/>
  <c r="H42" i="4"/>
  <c r="H8" i="4"/>
  <c r="N15" i="4"/>
  <c r="O15" i="4" s="1"/>
  <c r="H22" i="4"/>
  <c r="N23" i="4"/>
  <c r="N25" i="4"/>
  <c r="O25" i="4" s="1"/>
  <c r="N30" i="4"/>
  <c r="O30" i="4" s="1"/>
  <c r="N32" i="4"/>
  <c r="O32" i="4" s="1"/>
  <c r="J58" i="4"/>
  <c r="I22" i="3"/>
  <c r="D58" i="3"/>
  <c r="M57" i="3"/>
  <c r="K57" i="3"/>
  <c r="H57" i="3"/>
  <c r="N57" i="3" s="1"/>
  <c r="M56" i="3"/>
  <c r="K56" i="3"/>
  <c r="L56" i="3" s="1"/>
  <c r="H56" i="3"/>
  <c r="M55" i="3"/>
  <c r="K55" i="3"/>
  <c r="H55" i="3"/>
  <c r="M54" i="3"/>
  <c r="K54" i="3"/>
  <c r="H54" i="3"/>
  <c r="M53" i="3"/>
  <c r="K53" i="3"/>
  <c r="H53" i="3"/>
  <c r="N53" i="3" s="1"/>
  <c r="O53" i="3" s="1"/>
  <c r="M52" i="3"/>
  <c r="K52" i="3"/>
  <c r="L52" i="3" s="1"/>
  <c r="H52" i="3"/>
  <c r="M51" i="3"/>
  <c r="K51" i="3"/>
  <c r="H51" i="3"/>
  <c r="M50" i="3"/>
  <c r="K50" i="3"/>
  <c r="H50" i="3"/>
  <c r="M49" i="3"/>
  <c r="K49" i="3"/>
  <c r="H49" i="3"/>
  <c r="M48" i="3"/>
  <c r="K48" i="3"/>
  <c r="L48" i="3" s="1"/>
  <c r="H48" i="3"/>
  <c r="J47" i="3"/>
  <c r="I47" i="3"/>
  <c r="F47" i="3"/>
  <c r="E47" i="3"/>
  <c r="C47" i="3"/>
  <c r="M46" i="3"/>
  <c r="K46" i="3"/>
  <c r="L46" i="3" s="1"/>
  <c r="H46" i="3"/>
  <c r="M45" i="3"/>
  <c r="K45" i="3"/>
  <c r="H45" i="3"/>
  <c r="M44" i="3"/>
  <c r="K44" i="3"/>
  <c r="H44" i="3"/>
  <c r="M43" i="3"/>
  <c r="K43" i="3"/>
  <c r="H43" i="3"/>
  <c r="N43" i="3" s="1"/>
  <c r="J42" i="3"/>
  <c r="I42" i="3"/>
  <c r="G42" i="3"/>
  <c r="F42" i="3"/>
  <c r="E42" i="3"/>
  <c r="C42" i="3"/>
  <c r="M41" i="3"/>
  <c r="K41" i="3"/>
  <c r="H41" i="3"/>
  <c r="N41" i="3" s="1"/>
  <c r="M40" i="3"/>
  <c r="K40" i="3"/>
  <c r="H40" i="3"/>
  <c r="M39" i="3"/>
  <c r="K39" i="3"/>
  <c r="L39" i="3" s="1"/>
  <c r="H39" i="3"/>
  <c r="M38" i="3"/>
  <c r="K38" i="3"/>
  <c r="H38" i="3"/>
  <c r="N38" i="3" s="1"/>
  <c r="O38" i="3" s="1"/>
  <c r="M37" i="3"/>
  <c r="K37" i="3"/>
  <c r="H37" i="3"/>
  <c r="M36" i="3"/>
  <c r="K36" i="3"/>
  <c r="H36" i="3"/>
  <c r="M35" i="3"/>
  <c r="K35" i="3"/>
  <c r="H35" i="3"/>
  <c r="M34" i="3"/>
  <c r="K34" i="3"/>
  <c r="H34" i="3"/>
  <c r="M33" i="3"/>
  <c r="K33" i="3"/>
  <c r="H33" i="3"/>
  <c r="N33" i="3" s="1"/>
  <c r="M32" i="3"/>
  <c r="K32" i="3"/>
  <c r="H32" i="3"/>
  <c r="M31" i="3"/>
  <c r="K31" i="3"/>
  <c r="H31" i="3"/>
  <c r="M30" i="3"/>
  <c r="K30" i="3"/>
  <c r="H30" i="3"/>
  <c r="M29" i="3"/>
  <c r="K29" i="3"/>
  <c r="H29" i="3"/>
  <c r="M28" i="3"/>
  <c r="K28" i="3"/>
  <c r="H28" i="3"/>
  <c r="J27" i="3"/>
  <c r="I27" i="3"/>
  <c r="G27" i="3"/>
  <c r="F27" i="3"/>
  <c r="E27" i="3"/>
  <c r="C27" i="3"/>
  <c r="M26" i="3"/>
  <c r="K26" i="3"/>
  <c r="H26" i="3"/>
  <c r="M25" i="3"/>
  <c r="K25" i="3"/>
  <c r="H25" i="3"/>
  <c r="M24" i="3"/>
  <c r="K24" i="3"/>
  <c r="H24" i="3"/>
  <c r="M23" i="3"/>
  <c r="K23" i="3"/>
  <c r="H23" i="3"/>
  <c r="J22" i="3"/>
  <c r="M22" i="3" s="1"/>
  <c r="G22" i="3"/>
  <c r="F22" i="3"/>
  <c r="E22" i="3"/>
  <c r="C22" i="3"/>
  <c r="M21" i="3"/>
  <c r="K21" i="3"/>
  <c r="H21" i="3"/>
  <c r="N21" i="3" s="1"/>
  <c r="M20" i="3"/>
  <c r="K20" i="3"/>
  <c r="H20" i="3"/>
  <c r="N20" i="3" s="1"/>
  <c r="M19" i="3"/>
  <c r="M18" i="3" s="1"/>
  <c r="K19" i="3"/>
  <c r="H19" i="3"/>
  <c r="J18" i="3"/>
  <c r="I18" i="3"/>
  <c r="G18" i="3"/>
  <c r="F18" i="3"/>
  <c r="E18" i="3"/>
  <c r="C18" i="3"/>
  <c r="M17" i="3"/>
  <c r="K17" i="3"/>
  <c r="H17" i="3"/>
  <c r="N17" i="3" s="1"/>
  <c r="O17" i="3" s="1"/>
  <c r="M16" i="3"/>
  <c r="K16" i="3"/>
  <c r="H16" i="3"/>
  <c r="M15" i="3"/>
  <c r="K15" i="3"/>
  <c r="H15" i="3"/>
  <c r="M14" i="3"/>
  <c r="K14" i="3"/>
  <c r="H14" i="3"/>
  <c r="M13" i="3"/>
  <c r="K13" i="3"/>
  <c r="H13" i="3"/>
  <c r="N13" i="3" s="1"/>
  <c r="O13" i="3" s="1"/>
  <c r="M12" i="3"/>
  <c r="K12" i="3"/>
  <c r="H12" i="3"/>
  <c r="M11" i="3"/>
  <c r="K11" i="3"/>
  <c r="H11" i="3"/>
  <c r="M10" i="3"/>
  <c r="K10" i="3"/>
  <c r="H10" i="3"/>
  <c r="M9" i="3"/>
  <c r="K9" i="3"/>
  <c r="H9" i="3"/>
  <c r="J8" i="3"/>
  <c r="I8" i="3"/>
  <c r="G8" i="3"/>
  <c r="F8" i="3"/>
  <c r="E8" i="3"/>
  <c r="D8" i="3"/>
  <c r="C8" i="3"/>
  <c r="D58" i="2"/>
  <c r="M57" i="2"/>
  <c r="K57" i="2"/>
  <c r="H57" i="2"/>
  <c r="M56" i="2"/>
  <c r="K56" i="2"/>
  <c r="H56" i="2"/>
  <c r="M55" i="2"/>
  <c r="K55" i="2"/>
  <c r="H55" i="2"/>
  <c r="M54" i="2"/>
  <c r="K54" i="2"/>
  <c r="L54" i="2" s="1"/>
  <c r="H54" i="2"/>
  <c r="M53" i="2"/>
  <c r="K53" i="2"/>
  <c r="H53" i="2"/>
  <c r="M52" i="2"/>
  <c r="K52" i="2"/>
  <c r="H52" i="2"/>
  <c r="M51" i="2"/>
  <c r="K51" i="2"/>
  <c r="H51" i="2"/>
  <c r="M50" i="2"/>
  <c r="K50" i="2"/>
  <c r="H50" i="2"/>
  <c r="M49" i="2"/>
  <c r="K49" i="2"/>
  <c r="H49" i="2"/>
  <c r="M48" i="2"/>
  <c r="K48" i="2"/>
  <c r="H48" i="2"/>
  <c r="J47" i="2"/>
  <c r="M47" i="2" s="1"/>
  <c r="I47" i="2"/>
  <c r="F47" i="2"/>
  <c r="E47" i="2"/>
  <c r="C47" i="2"/>
  <c r="M46" i="2"/>
  <c r="K46" i="2"/>
  <c r="H46" i="2"/>
  <c r="M45" i="2"/>
  <c r="K45" i="2"/>
  <c r="H45" i="2"/>
  <c r="M44" i="2"/>
  <c r="L44" i="2"/>
  <c r="K44" i="2"/>
  <c r="H44" i="2"/>
  <c r="M43" i="2"/>
  <c r="K43" i="2"/>
  <c r="K42" i="2" s="1"/>
  <c r="H43" i="2"/>
  <c r="J42" i="2"/>
  <c r="I42" i="2"/>
  <c r="G42" i="2"/>
  <c r="F42" i="2"/>
  <c r="E42" i="2"/>
  <c r="C42" i="2"/>
  <c r="M41" i="2"/>
  <c r="K41" i="2"/>
  <c r="H41" i="2"/>
  <c r="M40" i="2"/>
  <c r="K40" i="2"/>
  <c r="H40" i="2"/>
  <c r="M39" i="2"/>
  <c r="K39" i="2"/>
  <c r="L39" i="2" s="1"/>
  <c r="H39" i="2"/>
  <c r="M38" i="2"/>
  <c r="K38" i="2"/>
  <c r="H38" i="2"/>
  <c r="M37" i="2"/>
  <c r="K37" i="2"/>
  <c r="H37" i="2"/>
  <c r="M36" i="2"/>
  <c r="K36" i="2"/>
  <c r="H36" i="2"/>
  <c r="M35" i="2"/>
  <c r="K35" i="2"/>
  <c r="H35" i="2"/>
  <c r="M34" i="2"/>
  <c r="K34" i="2"/>
  <c r="H34" i="2"/>
  <c r="M33" i="2"/>
  <c r="K33" i="2"/>
  <c r="H33" i="2"/>
  <c r="N33" i="2" s="1"/>
  <c r="M32" i="2"/>
  <c r="K32" i="2"/>
  <c r="L32" i="2" s="1"/>
  <c r="H32" i="2"/>
  <c r="M31" i="2"/>
  <c r="K31" i="2"/>
  <c r="H31" i="2"/>
  <c r="M30" i="2"/>
  <c r="K30" i="2"/>
  <c r="H30" i="2"/>
  <c r="M29" i="2"/>
  <c r="K29" i="2"/>
  <c r="H29" i="2"/>
  <c r="N29" i="2" s="1"/>
  <c r="O29" i="2" s="1"/>
  <c r="M28" i="2"/>
  <c r="K28" i="2"/>
  <c r="L28" i="2" s="1"/>
  <c r="H28" i="2"/>
  <c r="J27" i="2"/>
  <c r="I27" i="2"/>
  <c r="G27" i="2"/>
  <c r="F27" i="2"/>
  <c r="E27" i="2"/>
  <c r="C27" i="2"/>
  <c r="M26" i="2"/>
  <c r="K26" i="2"/>
  <c r="H26" i="2"/>
  <c r="M25" i="2"/>
  <c r="K25" i="2"/>
  <c r="H25" i="2"/>
  <c r="M24" i="2"/>
  <c r="K24" i="2"/>
  <c r="H24" i="2"/>
  <c r="M23" i="2"/>
  <c r="K23" i="2"/>
  <c r="H23" i="2"/>
  <c r="J22" i="2"/>
  <c r="M22" i="2" s="1"/>
  <c r="G22" i="2"/>
  <c r="F22" i="2"/>
  <c r="E22" i="2"/>
  <c r="C22" i="2"/>
  <c r="M21" i="2"/>
  <c r="K21" i="2"/>
  <c r="H21" i="2"/>
  <c r="M20" i="2"/>
  <c r="K20" i="2"/>
  <c r="H20" i="2"/>
  <c r="M19" i="2"/>
  <c r="M18" i="2" s="1"/>
  <c r="K19" i="2"/>
  <c r="H19" i="2"/>
  <c r="J18" i="2"/>
  <c r="I18" i="2"/>
  <c r="G18" i="2"/>
  <c r="F18" i="2"/>
  <c r="E18" i="2"/>
  <c r="C18" i="2"/>
  <c r="M17" i="2"/>
  <c r="K17" i="2"/>
  <c r="H17" i="2"/>
  <c r="M16" i="2"/>
  <c r="K16" i="2"/>
  <c r="H16" i="2"/>
  <c r="M15" i="2"/>
  <c r="L15" i="2"/>
  <c r="K15" i="2"/>
  <c r="H15" i="2"/>
  <c r="M14" i="2"/>
  <c r="K14" i="2"/>
  <c r="L14" i="2" s="1"/>
  <c r="H14" i="2"/>
  <c r="M13" i="2"/>
  <c r="K13" i="2"/>
  <c r="H13" i="2"/>
  <c r="M12" i="2"/>
  <c r="K12" i="2"/>
  <c r="H12" i="2"/>
  <c r="N12" i="2" s="1"/>
  <c r="O12" i="2" s="1"/>
  <c r="M11" i="2"/>
  <c r="K11" i="2"/>
  <c r="H11" i="2"/>
  <c r="M10" i="2"/>
  <c r="K10" i="2"/>
  <c r="H10" i="2"/>
  <c r="M9" i="2"/>
  <c r="K9" i="2"/>
  <c r="H9" i="2"/>
  <c r="J8" i="2"/>
  <c r="I8" i="2"/>
  <c r="G8" i="2"/>
  <c r="F8" i="2"/>
  <c r="E8" i="2"/>
  <c r="D8" i="2"/>
  <c r="C8" i="2"/>
  <c r="L9" i="2" l="1"/>
  <c r="I18" i="4"/>
  <c r="I18" i="6"/>
  <c r="I18" i="5"/>
  <c r="I58" i="5" s="1"/>
  <c r="K22" i="2"/>
  <c r="L30" i="2"/>
  <c r="L34" i="2"/>
  <c r="L38" i="2"/>
  <c r="N52" i="4"/>
  <c r="O52" i="4" s="1"/>
  <c r="O59" i="7"/>
  <c r="N54" i="7"/>
  <c r="O54" i="7" s="1"/>
  <c r="K18" i="6"/>
  <c r="L18" i="6" s="1"/>
  <c r="O56" i="6"/>
  <c r="N51" i="6"/>
  <c r="O51" i="6" s="1"/>
  <c r="L54" i="7"/>
  <c r="K68" i="7"/>
  <c r="L68" i="7" s="1"/>
  <c r="L53" i="2"/>
  <c r="E58" i="2"/>
  <c r="M8" i="2"/>
  <c r="N11" i="2"/>
  <c r="O11" i="2" s="1"/>
  <c r="N15" i="2"/>
  <c r="O15" i="2" s="1"/>
  <c r="N16" i="2"/>
  <c r="O16" i="2" s="1"/>
  <c r="N19" i="2"/>
  <c r="O19" i="2" s="1"/>
  <c r="L25" i="2"/>
  <c r="N36" i="2"/>
  <c r="O36" i="2" s="1"/>
  <c r="L37" i="2"/>
  <c r="N44" i="2"/>
  <c r="O44" i="2" s="1"/>
  <c r="N45" i="2"/>
  <c r="L48" i="2"/>
  <c r="N51" i="2"/>
  <c r="O51" i="2" s="1"/>
  <c r="L52" i="2"/>
  <c r="L37" i="3"/>
  <c r="L44" i="3"/>
  <c r="H47" i="3"/>
  <c r="L50" i="3"/>
  <c r="L54" i="3"/>
  <c r="L51" i="6"/>
  <c r="N18" i="6"/>
  <c r="O18" i="6" s="1"/>
  <c r="N30" i="7"/>
  <c r="O30" i="7" s="1"/>
  <c r="O31" i="7"/>
  <c r="N8" i="7"/>
  <c r="O9" i="7"/>
  <c r="N22" i="7"/>
  <c r="N18" i="7" s="1"/>
  <c r="O18" i="7" s="1"/>
  <c r="K18" i="7"/>
  <c r="L18" i="7" s="1"/>
  <c r="I58" i="2"/>
  <c r="O51" i="7"/>
  <c r="N49" i="7"/>
  <c r="O49" i="7" s="1"/>
  <c r="L13" i="2"/>
  <c r="L30" i="3"/>
  <c r="L34" i="3"/>
  <c r="K8" i="2"/>
  <c r="N31" i="2"/>
  <c r="O31" i="2" s="1"/>
  <c r="N35" i="2"/>
  <c r="N39" i="2"/>
  <c r="O39" i="2" s="1"/>
  <c r="N40" i="2"/>
  <c r="O40" i="2" s="1"/>
  <c r="N50" i="2"/>
  <c r="O50" i="2" s="1"/>
  <c r="N54" i="2"/>
  <c r="O54" i="2" s="1"/>
  <c r="N55" i="2"/>
  <c r="O55" i="2" s="1"/>
  <c r="L56" i="2"/>
  <c r="K18" i="3"/>
  <c r="N24" i="3"/>
  <c r="O24" i="3" s="1"/>
  <c r="L25" i="3"/>
  <c r="L28" i="3"/>
  <c r="N31" i="3"/>
  <c r="O31" i="3" s="1"/>
  <c r="L32" i="3"/>
  <c r="N35" i="3"/>
  <c r="L40" i="3"/>
  <c r="L27" i="4"/>
  <c r="O9" i="6"/>
  <c r="N8" i="6"/>
  <c r="O48" i="6"/>
  <c r="N46" i="6"/>
  <c r="O46" i="6" s="1"/>
  <c r="O30" i="6"/>
  <c r="N29" i="6"/>
  <c r="O29" i="6" s="1"/>
  <c r="L17" i="3"/>
  <c r="L17" i="2"/>
  <c r="N27" i="5"/>
  <c r="O27" i="5" s="1"/>
  <c r="M58" i="5"/>
  <c r="O51" i="5"/>
  <c r="N47" i="5"/>
  <c r="L47" i="5"/>
  <c r="K58" i="5"/>
  <c r="L58" i="5" s="1"/>
  <c r="L24" i="2"/>
  <c r="K47" i="4"/>
  <c r="N9" i="2"/>
  <c r="H8" i="2"/>
  <c r="L12" i="2"/>
  <c r="N17" i="2"/>
  <c r="O17" i="2" s="1"/>
  <c r="H18" i="2"/>
  <c r="K18" i="2"/>
  <c r="N26" i="2"/>
  <c r="M27" i="2"/>
  <c r="N30" i="2"/>
  <c r="O30" i="2" s="1"/>
  <c r="L31" i="2"/>
  <c r="N34" i="2"/>
  <c r="O34" i="2" s="1"/>
  <c r="L36" i="2"/>
  <c r="N41" i="2"/>
  <c r="M42" i="2"/>
  <c r="L46" i="2"/>
  <c r="N48" i="2"/>
  <c r="O48" i="2" s="1"/>
  <c r="H47" i="2"/>
  <c r="L51" i="2"/>
  <c r="N56" i="2"/>
  <c r="O56" i="2" s="1"/>
  <c r="N57" i="2"/>
  <c r="E58" i="3"/>
  <c r="H8" i="3"/>
  <c r="L11" i="3"/>
  <c r="L15" i="3"/>
  <c r="N23" i="3"/>
  <c r="L24" i="3"/>
  <c r="L31" i="3"/>
  <c r="N34" i="3"/>
  <c r="O34" i="3" s="1"/>
  <c r="N39" i="3"/>
  <c r="O39" i="3" s="1"/>
  <c r="N40" i="3"/>
  <c r="O40" i="3" s="1"/>
  <c r="L45" i="3"/>
  <c r="L51" i="3"/>
  <c r="L55" i="3"/>
  <c r="N46" i="4"/>
  <c r="O46" i="4" s="1"/>
  <c r="C58" i="2"/>
  <c r="H18" i="3"/>
  <c r="G58" i="2"/>
  <c r="L11" i="2"/>
  <c r="K27" i="2"/>
  <c r="F58" i="2"/>
  <c r="L50" i="2"/>
  <c r="N13" i="2"/>
  <c r="O13" i="2" s="1"/>
  <c r="N14" i="2"/>
  <c r="O14" i="2" s="1"/>
  <c r="L16" i="2"/>
  <c r="N20" i="2"/>
  <c r="N21" i="2"/>
  <c r="N24" i="2"/>
  <c r="O24" i="2" s="1"/>
  <c r="N28" i="2"/>
  <c r="L29" i="2"/>
  <c r="N32" i="2"/>
  <c r="O32" i="2" s="1"/>
  <c r="L33" i="2"/>
  <c r="N37" i="2"/>
  <c r="O37" i="2" s="1"/>
  <c r="N38" i="2"/>
  <c r="O38" i="2" s="1"/>
  <c r="L40" i="2"/>
  <c r="H42" i="2"/>
  <c r="L42" i="2" s="1"/>
  <c r="L45" i="2"/>
  <c r="N52" i="2"/>
  <c r="O52" i="2" s="1"/>
  <c r="N53" i="2"/>
  <c r="O53" i="2" s="1"/>
  <c r="L55" i="2"/>
  <c r="L13" i="3"/>
  <c r="N16" i="3"/>
  <c r="O16" i="3" s="1"/>
  <c r="N25" i="3"/>
  <c r="O25" i="3" s="1"/>
  <c r="N28" i="3"/>
  <c r="N32" i="3"/>
  <c r="O32" i="3" s="1"/>
  <c r="L33" i="3"/>
  <c r="N37" i="3"/>
  <c r="O37" i="3" s="1"/>
  <c r="L38" i="3"/>
  <c r="L53" i="3"/>
  <c r="L22" i="4"/>
  <c r="K8" i="4"/>
  <c r="L8" i="4" s="1"/>
  <c r="N17" i="4"/>
  <c r="O17" i="4" s="1"/>
  <c r="H58" i="4"/>
  <c r="N55" i="4"/>
  <c r="O55" i="4" s="1"/>
  <c r="N51" i="4"/>
  <c r="O51" i="4" s="1"/>
  <c r="M58" i="4"/>
  <c r="K42" i="4"/>
  <c r="L42" i="4" s="1"/>
  <c r="I58" i="4"/>
  <c r="N13" i="4"/>
  <c r="O13" i="4" s="1"/>
  <c r="N21" i="4"/>
  <c r="K18" i="4"/>
  <c r="L18" i="4" s="1"/>
  <c r="O9" i="4"/>
  <c r="L47" i="4"/>
  <c r="N22" i="4"/>
  <c r="O22" i="4" s="1"/>
  <c r="N27" i="4"/>
  <c r="O27" i="4" s="1"/>
  <c r="O28" i="4"/>
  <c r="G58" i="3"/>
  <c r="L29" i="3"/>
  <c r="L36" i="3"/>
  <c r="N36" i="3"/>
  <c r="O36" i="3" s="1"/>
  <c r="N19" i="3"/>
  <c r="O19" i="3" s="1"/>
  <c r="N12" i="3"/>
  <c r="O12" i="3" s="1"/>
  <c r="N52" i="3"/>
  <c r="O52" i="3" s="1"/>
  <c r="N50" i="3"/>
  <c r="O50" i="3" s="1"/>
  <c r="N51" i="3"/>
  <c r="O51" i="3" s="1"/>
  <c r="M47" i="3"/>
  <c r="N48" i="3"/>
  <c r="O48" i="3" s="1"/>
  <c r="N56" i="3"/>
  <c r="O56" i="3" s="1"/>
  <c r="N54" i="3"/>
  <c r="O54" i="3" s="1"/>
  <c r="N55" i="3"/>
  <c r="O55" i="3" s="1"/>
  <c r="M42" i="3"/>
  <c r="K42" i="3"/>
  <c r="N44" i="3"/>
  <c r="O44" i="3" s="1"/>
  <c r="N45" i="3"/>
  <c r="O45" i="3" s="1"/>
  <c r="I58" i="3"/>
  <c r="M27" i="3"/>
  <c r="N30" i="3"/>
  <c r="O30" i="3" s="1"/>
  <c r="K27" i="3"/>
  <c r="N29" i="3"/>
  <c r="O29" i="3" s="1"/>
  <c r="N11" i="3"/>
  <c r="O11" i="3" s="1"/>
  <c r="N15" i="3"/>
  <c r="O15" i="3" s="1"/>
  <c r="K8" i="3"/>
  <c r="N14" i="3"/>
  <c r="O14" i="3" s="1"/>
  <c r="L9" i="3"/>
  <c r="N9" i="3"/>
  <c r="O9" i="3" s="1"/>
  <c r="M8" i="3"/>
  <c r="L18" i="3"/>
  <c r="N10" i="3"/>
  <c r="N26" i="3"/>
  <c r="O28" i="3"/>
  <c r="O43" i="3"/>
  <c r="L12" i="3"/>
  <c r="L14" i="3"/>
  <c r="L16" i="3"/>
  <c r="C58" i="3"/>
  <c r="K22" i="3"/>
  <c r="F58" i="3"/>
  <c r="G61" i="3" s="1"/>
  <c r="H42" i="3"/>
  <c r="N49" i="3"/>
  <c r="H27" i="3"/>
  <c r="N46" i="3"/>
  <c r="O46" i="3" s="1"/>
  <c r="J58" i="3"/>
  <c r="L19" i="3"/>
  <c r="H22" i="3"/>
  <c r="L43" i="3"/>
  <c r="K47" i="3"/>
  <c r="O9" i="2"/>
  <c r="L18" i="2"/>
  <c r="O28" i="2"/>
  <c r="M58" i="2"/>
  <c r="N10" i="2"/>
  <c r="N43" i="2"/>
  <c r="N49" i="2"/>
  <c r="H27" i="2"/>
  <c r="L27" i="2" s="1"/>
  <c r="N46" i="2"/>
  <c r="J58" i="2"/>
  <c r="L19" i="2"/>
  <c r="H22" i="2"/>
  <c r="L22" i="2" s="1"/>
  <c r="L43" i="2"/>
  <c r="N23" i="2"/>
  <c r="N25" i="2"/>
  <c r="O25" i="2" s="1"/>
  <c r="K47" i="2"/>
  <c r="N65" i="6" l="1"/>
  <c r="O8" i="6"/>
  <c r="N18" i="2"/>
  <c r="O18" i="2" s="1"/>
  <c r="N42" i="4"/>
  <c r="O42" i="4" s="1"/>
  <c r="O8" i="7"/>
  <c r="N68" i="7"/>
  <c r="O68" i="7" s="1"/>
  <c r="K65" i="6"/>
  <c r="M18" i="6"/>
  <c r="M65" i="6" s="1"/>
  <c r="I65" i="6"/>
  <c r="O47" i="5"/>
  <c r="N58" i="5"/>
  <c r="O58" i="5" s="1"/>
  <c r="H58" i="2"/>
  <c r="L8" i="3"/>
  <c r="L8" i="2"/>
  <c r="N27" i="2"/>
  <c r="O27" i="2" s="1"/>
  <c r="H58" i="3"/>
  <c r="N18" i="3"/>
  <c r="O18" i="3" s="1"/>
  <c r="N47" i="4"/>
  <c r="O47" i="4" s="1"/>
  <c r="K58" i="4"/>
  <c r="L58" i="4" s="1"/>
  <c r="N18" i="4"/>
  <c r="O18" i="4" s="1"/>
  <c r="N8" i="4"/>
  <c r="O8" i="4" s="1"/>
  <c r="L27" i="3"/>
  <c r="L42" i="3"/>
  <c r="N47" i="3"/>
  <c r="O47" i="3" s="1"/>
  <c r="N42" i="3"/>
  <c r="O42" i="3" s="1"/>
  <c r="N27" i="3"/>
  <c r="O27" i="3" s="1"/>
  <c r="M58" i="3"/>
  <c r="K58" i="3"/>
  <c r="L47" i="3"/>
  <c r="L22" i="3"/>
  <c r="N22" i="3"/>
  <c r="O22" i="3" s="1"/>
  <c r="N8" i="3"/>
  <c r="O8" i="3" s="1"/>
  <c r="O43" i="2"/>
  <c r="N42" i="2"/>
  <c r="O42" i="2" s="1"/>
  <c r="K58" i="2"/>
  <c r="L47" i="2"/>
  <c r="N47" i="2"/>
  <c r="N8" i="2"/>
  <c r="O8" i="2" s="1"/>
  <c r="N22" i="2"/>
  <c r="O22" i="2" s="1"/>
  <c r="L58" i="3" l="1"/>
  <c r="L58" i="2"/>
  <c r="N58" i="4"/>
  <c r="O58" i="4" s="1"/>
  <c r="N58" i="3"/>
  <c r="O58" i="3" s="1"/>
  <c r="N58" i="2"/>
  <c r="O58" i="2" s="1"/>
  <c r="O47" i="2"/>
  <c r="O65" i="6"/>
  <c r="O62" i="6"/>
  <c r="L65" i="6" l="1"/>
  <c r="L71" i="11"/>
  <c r="L24" i="11"/>
</calcChain>
</file>

<file path=xl/sharedStrings.xml><?xml version="1.0" encoding="utf-8"?>
<sst xmlns="http://schemas.openxmlformats.org/spreadsheetml/2006/main" count="1588" uniqueCount="136">
  <si>
    <t>CONTRALORIA DEPARTAMENTAL DEL GUAVIARE</t>
  </si>
  <si>
    <t>EJECUCION PRESUPUESTAL  DE  GASTOS</t>
  </si>
  <si>
    <t>ENERO DE 2017</t>
  </si>
  <si>
    <t>CODIG</t>
  </si>
  <si>
    <t>CONCEPTO</t>
  </si>
  <si>
    <t>APROPIACIÒN</t>
  </si>
  <si>
    <t>REDUCCION</t>
  </si>
  <si>
    <t>ADICION</t>
  </si>
  <si>
    <t>CREDITOS</t>
  </si>
  <si>
    <t>CONTRA</t>
  </si>
  <si>
    <t>TOTAL</t>
  </si>
  <si>
    <t>EJECUCIÒN</t>
  </si>
  <si>
    <t>EJECUCION</t>
  </si>
  <si>
    <t xml:space="preserve">TOTAL </t>
  </si>
  <si>
    <t>%</t>
  </si>
  <si>
    <t>SALDO</t>
  </si>
  <si>
    <t>INICIAL</t>
  </si>
  <si>
    <t xml:space="preserve">MESES  ANTER. </t>
  </si>
  <si>
    <t>MES</t>
  </si>
  <si>
    <t>EJECUTADO</t>
  </si>
  <si>
    <t>DISPONIBLE</t>
  </si>
  <si>
    <t>20201101</t>
  </si>
  <si>
    <t>SERVICIOS PERSONALES</t>
  </si>
  <si>
    <t>2020110101</t>
  </si>
  <si>
    <t>SUELDO PERSONAL NOMINA</t>
  </si>
  <si>
    <t>2020110102</t>
  </si>
  <si>
    <t>GASTOS DE REPRESENTACION</t>
  </si>
  <si>
    <t>2020110103</t>
  </si>
  <si>
    <t>AUXILIO DE TRANSPORTE</t>
  </si>
  <si>
    <t>2020110104</t>
  </si>
  <si>
    <t>SUBSIDIO DE ALIMENTACIÒN</t>
  </si>
  <si>
    <t>2020110105</t>
  </si>
  <si>
    <t>BONIFICACION SERV. PRESTADOS</t>
  </si>
  <si>
    <t>2020110106</t>
  </si>
  <si>
    <t>PRIMA SEMESTRAL</t>
  </si>
  <si>
    <t>2020110107</t>
  </si>
  <si>
    <t>PRIMA DE VACACIONES</t>
  </si>
  <si>
    <t>VACACIONES COMPENSADAS</t>
  </si>
  <si>
    <t>PRIMA DE NAVIDAD</t>
  </si>
  <si>
    <t>20201102</t>
  </si>
  <si>
    <t>SERVICIOS PERSONAlES INDIRECTOS</t>
  </si>
  <si>
    <t>2020110201</t>
  </si>
  <si>
    <t>HONOR. SERV. PROFESIONALES</t>
  </si>
  <si>
    <t>2020110202</t>
  </si>
  <si>
    <t>SERVICIOS TECNICOS</t>
  </si>
  <si>
    <t>2020110203</t>
  </si>
  <si>
    <t>SUPERNUMERARIOS</t>
  </si>
  <si>
    <t>20201201</t>
  </si>
  <si>
    <t>GASTOS GENERALES, ADQUISICIÓN DE BIENES</t>
  </si>
  <si>
    <t>2020120101</t>
  </si>
  <si>
    <t>COMPRA DE EQUIPO</t>
  </si>
  <si>
    <t>2020120102</t>
  </si>
  <si>
    <t>MATERIALES Y SUMUNISTROS</t>
  </si>
  <si>
    <t>2020120104</t>
  </si>
  <si>
    <t>UNIFORMES Y DOTACION</t>
  </si>
  <si>
    <t>2020120105</t>
  </si>
  <si>
    <t>COMPRA SEDE</t>
  </si>
  <si>
    <t>20201202</t>
  </si>
  <si>
    <t>GASTOS GENERALES ADQUISICIÓN DE SERVICIOS</t>
  </si>
  <si>
    <t>2020120201</t>
  </si>
  <si>
    <t>MANTENIMIENTO Y REPARACIÓN</t>
  </si>
  <si>
    <t>2020120202</t>
  </si>
  <si>
    <t>VIATICOS  Y GASTOS DE VIAJE</t>
  </si>
  <si>
    <t>2020120203</t>
  </si>
  <si>
    <t>IMPRESOS Y PUBLICACIONES</t>
  </si>
  <si>
    <t>2020120204</t>
  </si>
  <si>
    <t>SERVICIOS PUBLICOS ENERGIA</t>
  </si>
  <si>
    <t>2020120205</t>
  </si>
  <si>
    <t>SERVICIOS PUBLICOS TELECOMUNICACIONES</t>
  </si>
  <si>
    <t>2020120206</t>
  </si>
  <si>
    <t>SERVICIOS PUBLICOS ALCANTARILLADO</t>
  </si>
  <si>
    <t>2020120207</t>
  </si>
  <si>
    <t>COMUNICACIONES Y TRANSPORTE</t>
  </si>
  <si>
    <t>2020120208</t>
  </si>
  <si>
    <t>ARRENDAMIENTO Y ALQUILER</t>
  </si>
  <si>
    <t>2020120209</t>
  </si>
  <si>
    <t>SEGUROS</t>
  </si>
  <si>
    <t>2020120210</t>
  </si>
  <si>
    <t>CAPACITACIÓN</t>
  </si>
  <si>
    <t>2020120211</t>
  </si>
  <si>
    <t>CONGRESOS FOROS Y SEMINARIOS</t>
  </si>
  <si>
    <t>2020120212</t>
  </si>
  <si>
    <t>BIENESTAR SOCIAL</t>
  </si>
  <si>
    <t>2020120213</t>
  </si>
  <si>
    <t>FOMENTO DEPORTIVO</t>
  </si>
  <si>
    <t>2020120214</t>
  </si>
  <si>
    <t>GASTOS VINCULACIÓN DE PERSONAL</t>
  </si>
  <si>
    <t>20201103</t>
  </si>
  <si>
    <t>CONTRIBUCIONES INHERENTES A LA NOMINA PRIVADO</t>
  </si>
  <si>
    <t>2020110301</t>
  </si>
  <si>
    <t>CESANTÍAS</t>
  </si>
  <si>
    <t>2020110302</t>
  </si>
  <si>
    <t>APORTES SERVICIOS MEDICOS</t>
  </si>
  <si>
    <t>APORTES PENSIONES</t>
  </si>
  <si>
    <t>INTERESES CESANTIAS</t>
  </si>
  <si>
    <t>20201104</t>
  </si>
  <si>
    <t>CONTRIBUCIONES INHERENTES A LA NOMINA PUBLICO</t>
  </si>
  <si>
    <t>2020110401</t>
  </si>
  <si>
    <t>CESANTIAS</t>
  </si>
  <si>
    <t>2020110402</t>
  </si>
  <si>
    <t>2020110403</t>
  </si>
  <si>
    <t>ACCIDENTES Y RIESGOS LARORALES</t>
  </si>
  <si>
    <t>2020110404</t>
  </si>
  <si>
    <t>2020110405</t>
  </si>
  <si>
    <t>CAJA DE COMP.FAMILIAR 4%</t>
  </si>
  <si>
    <t>2020110406</t>
  </si>
  <si>
    <t>I.C.B.F.</t>
  </si>
  <si>
    <t>2020110407</t>
  </si>
  <si>
    <t>ESAP 0.5%</t>
  </si>
  <si>
    <t>2020110408</t>
  </si>
  <si>
    <t>SENA 0.5%</t>
  </si>
  <si>
    <t>2020110409</t>
  </si>
  <si>
    <t>ESCUELAS IND. E INST.TÉCNICOS</t>
  </si>
  <si>
    <t>2020110410</t>
  </si>
  <si>
    <t>PASIVOS EXIGIBLES VIG. ANTERIORES</t>
  </si>
  <si>
    <t>TOTALES</t>
  </si>
  <si>
    <t>FEBRERO DE 2017</t>
  </si>
  <si>
    <t>MARZO DE 2017</t>
  </si>
  <si>
    <t>RESPONSABLE</t>
  </si>
  <si>
    <t>NOHEMILCE QUINTERO CETINA - DIRECTORA ADMINISTRATIVA Y FINANCIERA</t>
  </si>
  <si>
    <t>EDWIN YESID BORRERO BRAGA - DIRECTOR ADMINISTRATIVO Y FINANCIERO</t>
  </si>
  <si>
    <t>RESPONSABLE: EDWIN YESID BORRERO BRAGA - DIRECTOR ADMINISTRATRIVO Y FIANCIERO</t>
  </si>
  <si>
    <t>ABRIL DE 2017</t>
  </si>
  <si>
    <t>TRANSFERENCIAS CORRIENTES</t>
  </si>
  <si>
    <t>Sentencias Judiciales</t>
  </si>
  <si>
    <t>MAYO DE 2017</t>
  </si>
  <si>
    <t>SALUD OCUPACIONAL</t>
  </si>
  <si>
    <t>JUNIO DE 2017</t>
  </si>
  <si>
    <t>JULIO DE 2017</t>
  </si>
  <si>
    <t>AGOSTO DE 2017</t>
  </si>
  <si>
    <t>SEPTIEMBRE DE 2017</t>
  </si>
  <si>
    <t>APLAZAMIENTO</t>
  </si>
  <si>
    <t>OCTUBRE DE 2017</t>
  </si>
  <si>
    <t>DESAPLAZMIENTO</t>
  </si>
  <si>
    <t>NOVIEMBRE DE 2017</t>
  </si>
  <si>
    <t>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</si>
</sst>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-* #,##0_-;\-* #,##0_-;_-* &quot;-&quot;_-;_-@_-"/>
    <numFmt numFmtId="165" formatCode="_-* #,##0.00\ _€_-;\-* #,##0.00\ _€_-;_-* &quot;-&quot;??\ _€_-;_-@_-"/>
    <numFmt numFmtId="166" formatCode="_ * #,##0.00_ ;_ * \-#,##0.00_ ;_ * &quot;-&quot;??_ ;_ @_ "/>
    <numFmt numFmtId="167" formatCode="_ * #,##0_ ;_ * \-#,##0_ ;_ * &quot;-&quot;??_ ;_ @_ "/>
  </numFmts>
  <fonts count="26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4"/>
      <name val="Bookman Old Style"/>
      <family val="1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12"/>
      <name val="Arial"/>
      <family val="2"/>
    </font>
    <font>
      <sz val="10"/>
      <color indexed="8"/>
      <name val="Arial"/>
      <family val="2"/>
    </font>
    <font>
      <b/>
      <sz val="11"/>
      <color indexed="12"/>
      <name val="Arial"/>
      <family val="2"/>
    </font>
    <font>
      <u/>
      <sz val="10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sz val="12"/>
      <color theme="4"/>
      <name val="Arial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u/>
      <sz val="11"/>
      <name val="Arial"/>
      <family val="2"/>
    </font>
    <font>
      <b/>
      <sz val="12"/>
      <color theme="0"/>
      <name val="Arial"/>
      <family val="2"/>
    </font>
    <font>
      <b/>
      <sz val="14"/>
      <name val="Arial"/>
      <family val="2"/>
    </font>
    <font>
      <b/>
      <u/>
      <sz val="1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206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2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3" fillId="0" borderId="0"/>
    <xf numFmtId="43" fontId="2" fillId="0" borderId="0" applyFont="0" applyFill="0" applyBorder="0" applyAlignment="0" applyProtection="0"/>
    <xf numFmtId="0" fontId="1" fillId="0" borderId="0"/>
    <xf numFmtId="165" fontId="24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164" fontId="25" fillId="0" borderId="0" applyFont="0" applyFill="0" applyBorder="0" applyAlignment="0" applyProtection="0"/>
  </cellStyleXfs>
  <cellXfs count="211">
    <xf numFmtId="0" fontId="0" fillId="0" borderId="0" xfId="0"/>
    <xf numFmtId="0" fontId="2" fillId="0" borderId="0" xfId="1"/>
    <xf numFmtId="0" fontId="3" fillId="2" borderId="0" xfId="1" applyFont="1" applyFill="1"/>
    <xf numFmtId="0" fontId="2" fillId="2" borderId="0" xfId="1" applyFill="1" applyBorder="1"/>
    <xf numFmtId="0" fontId="6" fillId="2" borderId="0" xfId="1" applyFont="1" applyFill="1"/>
    <xf numFmtId="167" fontId="6" fillId="2" borderId="0" xfId="4" applyNumberFormat="1" applyFont="1" applyFill="1"/>
    <xf numFmtId="0" fontId="6" fillId="0" borderId="0" xfId="1" applyFont="1" applyFill="1"/>
    <xf numFmtId="0" fontId="4" fillId="0" borderId="16" xfId="1" applyFont="1" applyBorder="1" applyAlignment="1">
      <alignment horizontal="center"/>
    </xf>
    <xf numFmtId="0" fontId="8" fillId="0" borderId="3" xfId="1" applyFont="1" applyBorder="1"/>
    <xf numFmtId="0" fontId="8" fillId="0" borderId="6" xfId="1" applyFont="1" applyBorder="1"/>
    <xf numFmtId="0" fontId="8" fillId="0" borderId="6" xfId="1" applyFont="1" applyFill="1" applyBorder="1"/>
    <xf numFmtId="4" fontId="8" fillId="0" borderId="6" xfId="1" applyNumberFormat="1" applyFont="1" applyBorder="1"/>
    <xf numFmtId="167" fontId="8" fillId="0" borderId="4" xfId="4" applyNumberFormat="1" applyFont="1" applyBorder="1"/>
    <xf numFmtId="0" fontId="8" fillId="0" borderId="4" xfId="1" applyFont="1" applyBorder="1"/>
    <xf numFmtId="0" fontId="2" fillId="0" borderId="14" xfId="1" applyBorder="1"/>
    <xf numFmtId="3" fontId="8" fillId="0" borderId="1" xfId="1" applyNumberFormat="1" applyFont="1" applyBorder="1" applyAlignment="1">
      <alignment horizontal="right"/>
    </xf>
    <xf numFmtId="9" fontId="8" fillId="0" borderId="1" xfId="1" applyNumberFormat="1" applyFont="1" applyBorder="1" applyAlignment="1">
      <alignment horizontal="right"/>
    </xf>
    <xf numFmtId="167" fontId="8" fillId="0" borderId="1" xfId="4" applyNumberFormat="1" applyFont="1" applyBorder="1" applyAlignment="1">
      <alignment horizontal="right"/>
    </xf>
    <xf numFmtId="9" fontId="8" fillId="0" borderId="16" xfId="1" applyNumberFormat="1" applyFont="1" applyBorder="1" applyAlignment="1">
      <alignment horizontal="center"/>
    </xf>
    <xf numFmtId="0" fontId="6" fillId="0" borderId="16" xfId="1" applyFont="1" applyBorder="1" applyAlignment="1"/>
    <xf numFmtId="0" fontId="2" fillId="0" borderId="2" xfId="1" applyFont="1" applyBorder="1"/>
    <xf numFmtId="3" fontId="6" fillId="0" borderId="1" xfId="1" applyNumberFormat="1" applyFont="1" applyBorder="1" applyAlignment="1">
      <alignment horizontal="right"/>
    </xf>
    <xf numFmtId="3" fontId="6" fillId="0" borderId="1" xfId="1" applyNumberFormat="1" applyFont="1" applyFill="1" applyBorder="1" applyAlignment="1">
      <alignment horizontal="right"/>
    </xf>
    <xf numFmtId="3" fontId="9" fillId="3" borderId="1" xfId="1" applyNumberFormat="1" applyFont="1" applyFill="1" applyBorder="1" applyAlignment="1">
      <alignment horizontal="right"/>
    </xf>
    <xf numFmtId="3" fontId="9" fillId="4" borderId="1" xfId="1" applyNumberFormat="1" applyFont="1" applyFill="1" applyBorder="1" applyAlignment="1">
      <alignment horizontal="right"/>
    </xf>
    <xf numFmtId="167" fontId="6" fillId="0" borderId="1" xfId="4" applyNumberFormat="1" applyFont="1" applyBorder="1" applyAlignment="1">
      <alignment horizontal="right"/>
    </xf>
    <xf numFmtId="3" fontId="6" fillId="0" borderId="5" xfId="1" applyNumberFormat="1" applyFont="1" applyBorder="1" applyAlignment="1">
      <alignment horizontal="right"/>
    </xf>
    <xf numFmtId="167" fontId="10" fillId="2" borderId="1" xfId="4" applyNumberFormat="1" applyFont="1" applyFill="1" applyBorder="1"/>
    <xf numFmtId="0" fontId="6" fillId="0" borderId="16" xfId="1" applyFont="1" applyBorder="1" applyAlignment="1">
      <alignment horizontal="left"/>
    </xf>
    <xf numFmtId="167" fontId="10" fillId="2" borderId="17" xfId="4" applyNumberFormat="1" applyFont="1" applyFill="1" applyBorder="1"/>
    <xf numFmtId="0" fontId="2" fillId="2" borderId="2" xfId="1" applyFont="1" applyFill="1" applyBorder="1"/>
    <xf numFmtId="3" fontId="2" fillId="0" borderId="18" xfId="4" applyNumberFormat="1" applyFont="1" applyFill="1" applyBorder="1" applyAlignment="1">
      <alignment horizontal="right" vertical="center"/>
    </xf>
    <xf numFmtId="3" fontId="2" fillId="0" borderId="18" xfId="1" applyNumberFormat="1" applyFont="1" applyBorder="1" applyAlignment="1">
      <alignment horizontal="right" vertical="center"/>
    </xf>
    <xf numFmtId="0" fontId="2" fillId="0" borderId="2" xfId="1" applyFont="1" applyBorder="1" applyAlignment="1">
      <alignment horizontal="left"/>
    </xf>
    <xf numFmtId="0" fontId="2" fillId="2" borderId="2" xfId="1" applyFont="1" applyFill="1" applyBorder="1" applyAlignment="1">
      <alignment horizontal="left"/>
    </xf>
    <xf numFmtId="9" fontId="8" fillId="2" borderId="16" xfId="1" applyNumberFormat="1" applyFont="1" applyFill="1" applyBorder="1" applyAlignment="1">
      <alignment horizontal="center"/>
    </xf>
    <xf numFmtId="3" fontId="6" fillId="4" borderId="1" xfId="1" applyNumberFormat="1" applyFont="1" applyFill="1" applyBorder="1" applyAlignment="1">
      <alignment horizontal="right"/>
    </xf>
    <xf numFmtId="167" fontId="2" fillId="0" borderId="0" xfId="1" applyNumberFormat="1"/>
    <xf numFmtId="3" fontId="8" fillId="4" borderId="1" xfId="1" applyNumberFormat="1" applyFont="1" applyFill="1" applyBorder="1" applyAlignment="1">
      <alignment horizontal="right"/>
    </xf>
    <xf numFmtId="167" fontId="10" fillId="5" borderId="1" xfId="4" applyNumberFormat="1" applyFont="1" applyFill="1" applyBorder="1"/>
    <xf numFmtId="3" fontId="2" fillId="0" borderId="0" xfId="1" applyNumberFormat="1"/>
    <xf numFmtId="167" fontId="0" fillId="0" borderId="0" xfId="4" applyNumberFormat="1" applyFont="1"/>
    <xf numFmtId="3" fontId="12" fillId="0" borderId="0" xfId="1" applyNumberFormat="1" applyFont="1"/>
    <xf numFmtId="167" fontId="10" fillId="2" borderId="1" xfId="2" applyNumberFormat="1" applyFont="1" applyFill="1" applyBorder="1"/>
    <xf numFmtId="167" fontId="13" fillId="2" borderId="1" xfId="2" applyNumberFormat="1" applyFont="1" applyFill="1" applyBorder="1"/>
    <xf numFmtId="167" fontId="10" fillId="2" borderId="19" xfId="2" applyNumberFormat="1" applyFont="1" applyFill="1" applyBorder="1"/>
    <xf numFmtId="3" fontId="8" fillId="7" borderId="1" xfId="1" applyNumberFormat="1" applyFont="1" applyFill="1" applyBorder="1" applyAlignment="1">
      <alignment horizontal="right"/>
    </xf>
    <xf numFmtId="0" fontId="17" fillId="8" borderId="10" xfId="1" applyFont="1" applyFill="1" applyBorder="1"/>
    <xf numFmtId="0" fontId="17" fillId="8" borderId="9" xfId="1" applyFont="1" applyFill="1" applyBorder="1"/>
    <xf numFmtId="0" fontId="17" fillId="8" borderId="7" xfId="1" applyFont="1" applyFill="1" applyBorder="1" applyAlignment="1">
      <alignment horizontal="center"/>
    </xf>
    <xf numFmtId="0" fontId="17" fillId="8" borderId="10" xfId="1" applyFont="1" applyFill="1" applyBorder="1" applyAlignment="1">
      <alignment horizontal="center"/>
    </xf>
    <xf numFmtId="0" fontId="17" fillId="8" borderId="9" xfId="1" applyFont="1" applyFill="1" applyBorder="1" applyAlignment="1">
      <alignment horizontal="center"/>
    </xf>
    <xf numFmtId="167" fontId="17" fillId="8" borderId="8" xfId="4" applyNumberFormat="1" applyFont="1" applyFill="1" applyBorder="1" applyAlignment="1">
      <alignment horizontal="center"/>
    </xf>
    <xf numFmtId="0" fontId="18" fillId="8" borderId="10" xfId="1" applyFont="1" applyFill="1" applyBorder="1" applyAlignment="1">
      <alignment horizontal="center"/>
    </xf>
    <xf numFmtId="0" fontId="17" fillId="8" borderId="14" xfId="1" applyFont="1" applyFill="1" applyBorder="1"/>
    <xf numFmtId="0" fontId="17" fillId="8" borderId="13" xfId="1" applyFont="1" applyFill="1" applyBorder="1" applyAlignment="1">
      <alignment horizontal="right"/>
    </xf>
    <xf numFmtId="0" fontId="17" fillId="8" borderId="11" xfId="1" applyFont="1" applyFill="1" applyBorder="1" applyAlignment="1">
      <alignment horizontal="center"/>
    </xf>
    <xf numFmtId="0" fontId="17" fillId="8" borderId="15" xfId="1" applyFont="1" applyFill="1" applyBorder="1" applyAlignment="1">
      <alignment horizontal="center"/>
    </xf>
    <xf numFmtId="0" fontId="17" fillId="8" borderId="13" xfId="1" applyFont="1" applyFill="1" applyBorder="1"/>
    <xf numFmtId="0" fontId="17" fillId="8" borderId="13" xfId="1" applyFont="1" applyFill="1" applyBorder="1" applyAlignment="1">
      <alignment horizontal="center"/>
    </xf>
    <xf numFmtId="167" fontId="17" fillId="8" borderId="12" xfId="4" applyNumberFormat="1" applyFont="1" applyFill="1" applyBorder="1" applyAlignment="1">
      <alignment horizontal="center"/>
    </xf>
    <xf numFmtId="0" fontId="18" fillId="8" borderId="15" xfId="1" applyFont="1" applyFill="1" applyBorder="1"/>
    <xf numFmtId="167" fontId="4" fillId="7" borderId="1" xfId="2" applyNumberFormat="1" applyFont="1" applyFill="1" applyBorder="1"/>
    <xf numFmtId="3" fontId="6" fillId="7" borderId="1" xfId="1" applyNumberFormat="1" applyFont="1" applyFill="1" applyBorder="1" applyAlignment="1">
      <alignment horizontal="right"/>
    </xf>
    <xf numFmtId="3" fontId="19" fillId="7" borderId="1" xfId="1" applyNumberFormat="1" applyFont="1" applyFill="1" applyBorder="1" applyAlignment="1">
      <alignment horizontal="right"/>
    </xf>
    <xf numFmtId="0" fontId="7" fillId="6" borderId="14" xfId="1" applyFont="1" applyFill="1" applyBorder="1" applyAlignment="1">
      <alignment vertical="center"/>
    </xf>
    <xf numFmtId="0" fontId="7" fillId="6" borderId="2" xfId="1" applyFont="1" applyFill="1" applyBorder="1" applyAlignment="1">
      <alignment horizontal="left" vertical="center"/>
    </xf>
    <xf numFmtId="166" fontId="7" fillId="6" borderId="1" xfId="1" applyNumberFormat="1" applyFont="1" applyFill="1" applyBorder="1" applyAlignment="1">
      <alignment horizontal="right" vertical="center"/>
    </xf>
    <xf numFmtId="3" fontId="7" fillId="6" borderId="1" xfId="1" applyNumberFormat="1" applyFont="1" applyFill="1" applyBorder="1" applyAlignment="1">
      <alignment horizontal="right" vertical="center"/>
    </xf>
    <xf numFmtId="9" fontId="7" fillId="6" borderId="1" xfId="1" applyNumberFormat="1" applyFont="1" applyFill="1" applyBorder="1" applyAlignment="1">
      <alignment horizontal="right" vertical="center"/>
    </xf>
    <xf numFmtId="167" fontId="7" fillId="6" borderId="1" xfId="4" applyNumberFormat="1" applyFont="1" applyFill="1" applyBorder="1" applyAlignment="1">
      <alignment horizontal="right" vertical="center"/>
    </xf>
    <xf numFmtId="9" fontId="7" fillId="6" borderId="16" xfId="1" applyNumberFormat="1" applyFont="1" applyFill="1" applyBorder="1" applyAlignment="1">
      <alignment horizontal="center" vertical="center"/>
    </xf>
    <xf numFmtId="0" fontId="14" fillId="0" borderId="0" xfId="1" applyFont="1" applyAlignment="1">
      <alignment vertical="center"/>
    </xf>
    <xf numFmtId="166" fontId="7" fillId="6" borderId="1" xfId="1" applyNumberFormat="1" applyFont="1" applyFill="1" applyBorder="1" applyAlignment="1">
      <alignment vertical="center"/>
    </xf>
    <xf numFmtId="3" fontId="14" fillId="6" borderId="1" xfId="1" applyNumberFormat="1" applyFont="1" applyFill="1" applyBorder="1" applyAlignment="1">
      <alignment horizontal="right" vertical="center"/>
    </xf>
    <xf numFmtId="3" fontId="7" fillId="6" borderId="5" xfId="1" applyNumberFormat="1" applyFont="1" applyFill="1" applyBorder="1" applyAlignment="1">
      <alignment horizontal="right" vertical="center"/>
    </xf>
    <xf numFmtId="0" fontId="7" fillId="6" borderId="2" xfId="1" applyFont="1" applyFill="1" applyBorder="1" applyAlignment="1">
      <alignment vertical="center"/>
    </xf>
    <xf numFmtId="0" fontId="2" fillId="0" borderId="0" xfId="1" applyAlignment="1">
      <alignment vertical="center"/>
    </xf>
    <xf numFmtId="0" fontId="6" fillId="0" borderId="16" xfId="1" applyFont="1" applyBorder="1" applyAlignment="1">
      <alignment vertical="center"/>
    </xf>
    <xf numFmtId="167" fontId="14" fillId="0" borderId="0" xfId="1" applyNumberFormat="1" applyFont="1" applyAlignment="1">
      <alignment vertical="center"/>
    </xf>
    <xf numFmtId="0" fontId="3" fillId="0" borderId="0" xfId="1" applyFont="1" applyAlignment="1">
      <alignment vertical="center"/>
    </xf>
    <xf numFmtId="0" fontId="17" fillId="8" borderId="20" xfId="1" applyFont="1" applyFill="1" applyBorder="1" applyAlignment="1">
      <alignment horizontal="center" vertical="center"/>
    </xf>
    <xf numFmtId="0" fontId="8" fillId="6" borderId="2" xfId="1" applyFont="1" applyFill="1" applyBorder="1" applyAlignment="1">
      <alignment horizontal="left" vertical="center" wrapText="1"/>
    </xf>
    <xf numFmtId="0" fontId="8" fillId="6" borderId="2" xfId="1" applyFont="1" applyFill="1" applyBorder="1" applyAlignment="1">
      <alignment horizontal="left" vertical="center"/>
    </xf>
    <xf numFmtId="3" fontId="7" fillId="9" borderId="1" xfId="1" applyNumberFormat="1" applyFont="1" applyFill="1" applyBorder="1" applyAlignment="1">
      <alignment horizontal="right"/>
    </xf>
    <xf numFmtId="3" fontId="7" fillId="9" borderId="5" xfId="1" applyNumberFormat="1" applyFont="1" applyFill="1" applyBorder="1" applyAlignment="1">
      <alignment horizontal="right"/>
    </xf>
    <xf numFmtId="0" fontId="7" fillId="9" borderId="14" xfId="1" applyFont="1" applyFill="1" applyBorder="1" applyAlignment="1"/>
    <xf numFmtId="0" fontId="7" fillId="9" borderId="2" xfId="1" applyFont="1" applyFill="1" applyBorder="1"/>
    <xf numFmtId="166" fontId="7" fillId="9" borderId="1" xfId="1" applyNumberFormat="1" applyFont="1" applyFill="1" applyBorder="1"/>
    <xf numFmtId="3" fontId="14" fillId="9" borderId="1" xfId="1" applyNumberFormat="1" applyFont="1" applyFill="1" applyBorder="1" applyAlignment="1">
      <alignment horizontal="right"/>
    </xf>
    <xf numFmtId="3" fontId="15" fillId="9" borderId="1" xfId="1" applyNumberFormat="1" applyFont="1" applyFill="1" applyBorder="1" applyAlignment="1">
      <alignment horizontal="right"/>
    </xf>
    <xf numFmtId="9" fontId="7" fillId="9" borderId="1" xfId="1" applyNumberFormat="1" applyFont="1" applyFill="1" applyBorder="1" applyAlignment="1">
      <alignment horizontal="right"/>
    </xf>
    <xf numFmtId="167" fontId="7" fillId="9" borderId="1" xfId="4" applyNumberFormat="1" applyFont="1" applyFill="1" applyBorder="1" applyAlignment="1">
      <alignment horizontal="right"/>
    </xf>
    <xf numFmtId="9" fontId="7" fillId="9" borderId="16" xfId="1" applyNumberFormat="1" applyFont="1" applyFill="1" applyBorder="1" applyAlignment="1">
      <alignment horizontal="center"/>
    </xf>
    <xf numFmtId="0" fontId="7" fillId="9" borderId="2" xfId="1" applyFont="1" applyFill="1" applyBorder="1" applyAlignment="1">
      <alignment horizontal="left"/>
    </xf>
    <xf numFmtId="166" fontId="7" fillId="9" borderId="1" xfId="1" applyNumberFormat="1" applyFont="1" applyFill="1" applyBorder="1" applyAlignment="1">
      <alignment horizontal="right"/>
    </xf>
    <xf numFmtId="0" fontId="17" fillId="10" borderId="10" xfId="1" applyFont="1" applyFill="1" applyBorder="1" applyAlignment="1">
      <alignment vertical="center"/>
    </xf>
    <xf numFmtId="0" fontId="17" fillId="10" borderId="9" xfId="1" applyFont="1" applyFill="1" applyBorder="1" applyAlignment="1">
      <alignment vertical="center"/>
    </xf>
    <xf numFmtId="0" fontId="17" fillId="10" borderId="7" xfId="1" applyFont="1" applyFill="1" applyBorder="1" applyAlignment="1">
      <alignment horizontal="center" vertical="center"/>
    </xf>
    <xf numFmtId="0" fontId="17" fillId="10" borderId="10" xfId="1" applyFont="1" applyFill="1" applyBorder="1" applyAlignment="1">
      <alignment horizontal="center" vertical="center"/>
    </xf>
    <xf numFmtId="0" fontId="17" fillId="10" borderId="9" xfId="1" applyFont="1" applyFill="1" applyBorder="1" applyAlignment="1">
      <alignment horizontal="center" vertical="center"/>
    </xf>
    <xf numFmtId="167" fontId="17" fillId="10" borderId="8" xfId="4" applyNumberFormat="1" applyFont="1" applyFill="1" applyBorder="1" applyAlignment="1">
      <alignment horizontal="center" vertical="center"/>
    </xf>
    <xf numFmtId="0" fontId="18" fillId="10" borderId="10" xfId="1" applyFont="1" applyFill="1" applyBorder="1" applyAlignment="1">
      <alignment horizontal="center" vertical="center"/>
    </xf>
    <xf numFmtId="0" fontId="17" fillId="10" borderId="14" xfId="1" applyFont="1" applyFill="1" applyBorder="1" applyAlignment="1">
      <alignment vertical="center"/>
    </xf>
    <xf numFmtId="0" fontId="17" fillId="10" borderId="13" xfId="1" applyFont="1" applyFill="1" applyBorder="1" applyAlignment="1">
      <alignment horizontal="right" vertical="center"/>
    </xf>
    <xf numFmtId="0" fontId="17" fillId="10" borderId="11" xfId="1" applyFont="1" applyFill="1" applyBorder="1" applyAlignment="1">
      <alignment horizontal="center" vertical="center"/>
    </xf>
    <xf numFmtId="0" fontId="17" fillId="10" borderId="15" xfId="1" applyFont="1" applyFill="1" applyBorder="1" applyAlignment="1">
      <alignment horizontal="center" vertical="center"/>
    </xf>
    <xf numFmtId="0" fontId="17" fillId="10" borderId="13" xfId="1" applyFont="1" applyFill="1" applyBorder="1" applyAlignment="1">
      <alignment vertical="center"/>
    </xf>
    <xf numFmtId="0" fontId="17" fillId="10" borderId="13" xfId="1" applyFont="1" applyFill="1" applyBorder="1" applyAlignment="1">
      <alignment horizontal="center" vertical="center"/>
    </xf>
    <xf numFmtId="167" fontId="17" fillId="10" borderId="12" xfId="4" applyNumberFormat="1" applyFont="1" applyFill="1" applyBorder="1" applyAlignment="1">
      <alignment horizontal="center" vertical="center"/>
    </xf>
    <xf numFmtId="0" fontId="18" fillId="10" borderId="15" xfId="1" applyFont="1" applyFill="1" applyBorder="1" applyAlignment="1">
      <alignment vertical="center"/>
    </xf>
    <xf numFmtId="167" fontId="2" fillId="0" borderId="0" xfId="1" applyNumberFormat="1" applyAlignment="1">
      <alignment vertical="center"/>
    </xf>
    <xf numFmtId="3" fontId="7" fillId="9" borderId="1" xfId="1" applyNumberFormat="1" applyFont="1" applyFill="1" applyBorder="1" applyAlignment="1">
      <alignment horizontal="right" vertical="center"/>
    </xf>
    <xf numFmtId="3" fontId="7" fillId="9" borderId="5" xfId="1" applyNumberFormat="1" applyFont="1" applyFill="1" applyBorder="1" applyAlignment="1">
      <alignment horizontal="right" vertical="center"/>
    </xf>
    <xf numFmtId="0" fontId="7" fillId="9" borderId="14" xfId="1" applyFont="1" applyFill="1" applyBorder="1" applyAlignment="1">
      <alignment vertical="center"/>
    </xf>
    <xf numFmtId="0" fontId="7" fillId="9" borderId="2" xfId="1" applyFont="1" applyFill="1" applyBorder="1" applyAlignment="1">
      <alignment vertical="center"/>
    </xf>
    <xf numFmtId="9" fontId="7" fillId="9" borderId="1" xfId="1" applyNumberFormat="1" applyFont="1" applyFill="1" applyBorder="1" applyAlignment="1">
      <alignment horizontal="right" vertical="center"/>
    </xf>
    <xf numFmtId="167" fontId="7" fillId="9" borderId="1" xfId="4" applyNumberFormat="1" applyFont="1" applyFill="1" applyBorder="1" applyAlignment="1">
      <alignment horizontal="right" vertical="center"/>
    </xf>
    <xf numFmtId="9" fontId="7" fillId="9" borderId="16" xfId="1" applyNumberFormat="1" applyFont="1" applyFill="1" applyBorder="1" applyAlignment="1">
      <alignment horizontal="center" vertical="center"/>
    </xf>
    <xf numFmtId="166" fontId="7" fillId="9" borderId="1" xfId="1" applyNumberFormat="1" applyFont="1" applyFill="1" applyBorder="1" applyAlignment="1">
      <alignment vertical="center"/>
    </xf>
    <xf numFmtId="3" fontId="14" fillId="9" borderId="1" xfId="1" applyNumberFormat="1" applyFont="1" applyFill="1" applyBorder="1" applyAlignment="1">
      <alignment horizontal="right" vertical="center"/>
    </xf>
    <xf numFmtId="3" fontId="15" fillId="9" borderId="1" xfId="1" applyNumberFormat="1" applyFont="1" applyFill="1" applyBorder="1" applyAlignment="1">
      <alignment horizontal="right" vertical="center"/>
    </xf>
    <xf numFmtId="3" fontId="16" fillId="9" borderId="1" xfId="1" applyNumberFormat="1" applyFont="1" applyFill="1" applyBorder="1" applyAlignment="1">
      <alignment horizontal="right" vertical="center"/>
    </xf>
    <xf numFmtId="0" fontId="7" fillId="9" borderId="2" xfId="1" applyFont="1" applyFill="1" applyBorder="1" applyAlignment="1">
      <alignment horizontal="left" vertical="center"/>
    </xf>
    <xf numFmtId="166" fontId="7" fillId="9" borderId="1" xfId="1" applyNumberFormat="1" applyFont="1" applyFill="1" applyBorder="1" applyAlignment="1">
      <alignment horizontal="right" vertical="center"/>
    </xf>
    <xf numFmtId="3" fontId="6" fillId="11" borderId="1" xfId="1" applyNumberFormat="1" applyFont="1" applyFill="1" applyBorder="1" applyAlignment="1">
      <alignment horizontal="right"/>
    </xf>
    <xf numFmtId="3" fontId="19" fillId="11" borderId="1" xfId="1" applyNumberFormat="1" applyFont="1" applyFill="1" applyBorder="1" applyAlignment="1">
      <alignment horizontal="right"/>
    </xf>
    <xf numFmtId="3" fontId="8" fillId="11" borderId="1" xfId="1" applyNumberFormat="1" applyFont="1" applyFill="1" applyBorder="1" applyAlignment="1">
      <alignment horizontal="right"/>
    </xf>
    <xf numFmtId="0" fontId="17" fillId="12" borderId="10" xfId="1" applyFont="1" applyFill="1" applyBorder="1"/>
    <xf numFmtId="0" fontId="17" fillId="12" borderId="9" xfId="1" applyFont="1" applyFill="1" applyBorder="1"/>
    <xf numFmtId="0" fontId="17" fillId="12" borderId="7" xfId="1" applyFont="1" applyFill="1" applyBorder="1" applyAlignment="1">
      <alignment horizontal="center"/>
    </xf>
    <xf numFmtId="0" fontId="17" fillId="12" borderId="10" xfId="1" applyFont="1" applyFill="1" applyBorder="1" applyAlignment="1">
      <alignment horizontal="center"/>
    </xf>
    <xf numFmtId="0" fontId="17" fillId="12" borderId="9" xfId="1" applyFont="1" applyFill="1" applyBorder="1" applyAlignment="1">
      <alignment horizontal="center"/>
    </xf>
    <xf numFmtId="167" fontId="17" fillId="12" borderId="8" xfId="4" applyNumberFormat="1" applyFont="1" applyFill="1" applyBorder="1" applyAlignment="1">
      <alignment horizontal="center"/>
    </xf>
    <xf numFmtId="0" fontId="17" fillId="12" borderId="14" xfId="1" applyFont="1" applyFill="1" applyBorder="1"/>
    <xf numFmtId="0" fontId="17" fillId="12" borderId="13" xfId="1" applyFont="1" applyFill="1" applyBorder="1" applyAlignment="1">
      <alignment horizontal="right"/>
    </xf>
    <xf numFmtId="0" fontId="17" fillId="12" borderId="11" xfId="1" applyFont="1" applyFill="1" applyBorder="1" applyAlignment="1">
      <alignment horizontal="center"/>
    </xf>
    <xf numFmtId="0" fontId="17" fillId="12" borderId="15" xfId="1" applyFont="1" applyFill="1" applyBorder="1" applyAlignment="1">
      <alignment horizontal="center"/>
    </xf>
    <xf numFmtId="0" fontId="17" fillId="12" borderId="13" xfId="1" applyFont="1" applyFill="1" applyBorder="1"/>
    <xf numFmtId="0" fontId="17" fillId="12" borderId="13" xfId="1" applyFont="1" applyFill="1" applyBorder="1" applyAlignment="1">
      <alignment horizontal="center"/>
    </xf>
    <xf numFmtId="167" fontId="17" fillId="12" borderId="12" xfId="4" applyNumberFormat="1" applyFont="1" applyFill="1" applyBorder="1" applyAlignment="1">
      <alignment horizontal="center"/>
    </xf>
    <xf numFmtId="0" fontId="17" fillId="12" borderId="15" xfId="1" applyFont="1" applyFill="1" applyBorder="1"/>
    <xf numFmtId="0" fontId="21" fillId="12" borderId="13" xfId="1" applyFont="1" applyFill="1" applyBorder="1"/>
    <xf numFmtId="167" fontId="4" fillId="11" borderId="1" xfId="2" applyNumberFormat="1" applyFont="1" applyFill="1" applyBorder="1"/>
    <xf numFmtId="0" fontId="8" fillId="0" borderId="0" xfId="1" applyFont="1" applyFill="1"/>
    <xf numFmtId="0" fontId="8" fillId="2" borderId="0" xfId="1" applyFont="1" applyFill="1"/>
    <xf numFmtId="3" fontId="11" fillId="3" borderId="1" xfId="1" applyNumberFormat="1" applyFont="1" applyFill="1" applyBorder="1" applyAlignment="1">
      <alignment horizontal="right"/>
    </xf>
    <xf numFmtId="3" fontId="22" fillId="11" borderId="1" xfId="1" applyNumberFormat="1" applyFont="1" applyFill="1" applyBorder="1" applyAlignment="1">
      <alignment horizontal="right"/>
    </xf>
    <xf numFmtId="0" fontId="4" fillId="0" borderId="0" xfId="1" applyFont="1"/>
    <xf numFmtId="3" fontId="4" fillId="0" borderId="0" xfId="1" applyNumberFormat="1" applyFont="1"/>
    <xf numFmtId="0" fontId="20" fillId="12" borderId="9" xfId="1" applyFont="1" applyFill="1" applyBorder="1" applyAlignment="1">
      <alignment horizontal="center"/>
    </xf>
    <xf numFmtId="0" fontId="20" fillId="12" borderId="13" xfId="1" applyFont="1" applyFill="1" applyBorder="1" applyAlignment="1">
      <alignment horizontal="center"/>
    </xf>
    <xf numFmtId="0" fontId="17" fillId="12" borderId="20" xfId="1" applyFont="1" applyFill="1" applyBorder="1" applyAlignment="1">
      <alignment horizontal="center" vertical="center"/>
    </xf>
    <xf numFmtId="0" fontId="17" fillId="12" borderId="21" xfId="1" applyFont="1" applyFill="1" applyBorder="1" applyAlignment="1">
      <alignment horizontal="left" vertical="center"/>
    </xf>
    <xf numFmtId="3" fontId="17" fillId="12" borderId="19" xfId="1" applyNumberFormat="1" applyFont="1" applyFill="1" applyBorder="1" applyAlignment="1">
      <alignment horizontal="right" vertical="center"/>
    </xf>
    <xf numFmtId="9" fontId="17" fillId="12" borderId="19" xfId="1" applyNumberFormat="1" applyFont="1" applyFill="1" applyBorder="1" applyAlignment="1">
      <alignment horizontal="right" vertical="center"/>
    </xf>
    <xf numFmtId="167" fontId="17" fillId="12" borderId="19" xfId="4" applyNumberFormat="1" applyFont="1" applyFill="1" applyBorder="1" applyAlignment="1">
      <alignment horizontal="right" vertical="center"/>
    </xf>
    <xf numFmtId="9" fontId="17" fillId="12" borderId="20" xfId="1" applyNumberFormat="1" applyFont="1" applyFill="1" applyBorder="1" applyAlignment="1">
      <alignment horizontal="center" vertical="center"/>
    </xf>
    <xf numFmtId="0" fontId="20" fillId="8" borderId="20" xfId="1" applyFont="1" applyFill="1" applyBorder="1" applyAlignment="1">
      <alignment horizontal="center" vertical="center"/>
    </xf>
    <xf numFmtId="0" fontId="20" fillId="8" borderId="21" xfId="1" applyFont="1" applyFill="1" applyBorder="1" applyAlignment="1">
      <alignment horizontal="left" vertical="center"/>
    </xf>
    <xf numFmtId="166" fontId="20" fillId="8" borderId="19" xfId="1" applyNumberFormat="1" applyFont="1" applyFill="1" applyBorder="1" applyAlignment="1">
      <alignment horizontal="right" vertical="center"/>
    </xf>
    <xf numFmtId="3" fontId="20" fillId="8" borderId="19" xfId="1" applyNumberFormat="1" applyFont="1" applyFill="1" applyBorder="1" applyAlignment="1">
      <alignment horizontal="right" vertical="center"/>
    </xf>
    <xf numFmtId="9" fontId="20" fillId="8" borderId="19" xfId="1" applyNumberFormat="1" applyFont="1" applyFill="1" applyBorder="1" applyAlignment="1">
      <alignment horizontal="right" vertical="center"/>
    </xf>
    <xf numFmtId="167" fontId="20" fillId="8" borderId="19" xfId="4" applyNumberFormat="1" applyFont="1" applyFill="1" applyBorder="1" applyAlignment="1">
      <alignment horizontal="right" vertical="center"/>
    </xf>
    <xf numFmtId="9" fontId="20" fillId="8" borderId="20" xfId="1" applyNumberFormat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left" wrapText="1"/>
    </xf>
    <xf numFmtId="0" fontId="17" fillId="8" borderId="21" xfId="1" applyFont="1" applyFill="1" applyBorder="1" applyAlignment="1">
      <alignment horizontal="left" vertical="center"/>
    </xf>
    <xf numFmtId="3" fontId="17" fillId="8" borderId="19" xfId="1" applyNumberFormat="1" applyFont="1" applyFill="1" applyBorder="1" applyAlignment="1">
      <alignment horizontal="right" vertical="center"/>
    </xf>
    <xf numFmtId="9" fontId="17" fillId="8" borderId="19" xfId="1" applyNumberFormat="1" applyFont="1" applyFill="1" applyBorder="1" applyAlignment="1">
      <alignment horizontal="right" vertical="center"/>
    </xf>
    <xf numFmtId="167" fontId="17" fillId="8" borderId="19" xfId="4" applyNumberFormat="1" applyFont="1" applyFill="1" applyBorder="1" applyAlignment="1">
      <alignment horizontal="right" vertical="center"/>
    </xf>
    <xf numFmtId="9" fontId="17" fillId="8" borderId="20" xfId="1" applyNumberFormat="1" applyFont="1" applyFill="1" applyBorder="1" applyAlignment="1">
      <alignment horizontal="center" vertical="center"/>
    </xf>
    <xf numFmtId="167" fontId="17" fillId="8" borderId="19" xfId="1" applyNumberFormat="1" applyFont="1" applyFill="1" applyBorder="1" applyAlignment="1">
      <alignment horizontal="right" vertical="center"/>
    </xf>
    <xf numFmtId="167" fontId="17" fillId="12" borderId="19" xfId="1" applyNumberFormat="1" applyFont="1" applyFill="1" applyBorder="1" applyAlignment="1">
      <alignment horizontal="right" vertical="center"/>
    </xf>
    <xf numFmtId="0" fontId="2" fillId="0" borderId="21" xfId="1" applyFont="1" applyBorder="1" applyAlignment="1">
      <alignment horizontal="left"/>
    </xf>
    <xf numFmtId="3" fontId="2" fillId="0" borderId="27" xfId="1" applyNumberFormat="1" applyFont="1" applyBorder="1" applyAlignment="1">
      <alignment horizontal="right" vertical="center"/>
    </xf>
    <xf numFmtId="3" fontId="6" fillId="0" borderId="19" xfId="1" applyNumberFormat="1" applyFont="1" applyFill="1" applyBorder="1" applyAlignment="1">
      <alignment horizontal="right"/>
    </xf>
    <xf numFmtId="3" fontId="9" fillId="3" borderId="19" xfId="1" applyNumberFormat="1" applyFont="1" applyFill="1" applyBorder="1" applyAlignment="1">
      <alignment horizontal="right"/>
    </xf>
    <xf numFmtId="3" fontId="6" fillId="4" borderId="19" xfId="1" applyNumberFormat="1" applyFont="1" applyFill="1" applyBorder="1" applyAlignment="1">
      <alignment horizontal="right"/>
    </xf>
    <xf numFmtId="3" fontId="6" fillId="7" borderId="19" xfId="1" applyNumberFormat="1" applyFont="1" applyFill="1" applyBorder="1" applyAlignment="1">
      <alignment horizontal="right"/>
    </xf>
    <xf numFmtId="3" fontId="6" fillId="0" borderId="19" xfId="1" applyNumberFormat="1" applyFont="1" applyBorder="1" applyAlignment="1">
      <alignment horizontal="right"/>
    </xf>
    <xf numFmtId="0" fontId="7" fillId="6" borderId="14" xfId="1" applyFont="1" applyFill="1" applyBorder="1" applyAlignment="1">
      <alignment horizontal="left" vertical="center"/>
    </xf>
    <xf numFmtId="0" fontId="6" fillId="0" borderId="20" xfId="1" applyFont="1" applyBorder="1" applyAlignment="1">
      <alignment horizontal="left"/>
    </xf>
    <xf numFmtId="3" fontId="2" fillId="0" borderId="5" xfId="1" applyNumberFormat="1" applyFont="1" applyBorder="1" applyAlignment="1">
      <alignment horizontal="right" vertical="center"/>
    </xf>
    <xf numFmtId="0" fontId="6" fillId="0" borderId="14" xfId="1" applyFont="1" applyBorder="1" applyAlignment="1">
      <alignment horizontal="left"/>
    </xf>
    <xf numFmtId="0" fontId="20" fillId="8" borderId="9" xfId="1" applyFont="1" applyFill="1" applyBorder="1" applyAlignment="1">
      <alignment horizontal="center" wrapText="1"/>
    </xf>
    <xf numFmtId="0" fontId="20" fillId="8" borderId="13" xfId="1" applyFont="1" applyFill="1" applyBorder="1" applyAlignment="1">
      <alignment horizontal="center" wrapText="1"/>
    </xf>
    <xf numFmtId="0" fontId="17" fillId="8" borderId="10" xfId="1" applyFont="1" applyFill="1" applyBorder="1" applyAlignment="1">
      <alignment horizontal="center"/>
    </xf>
    <xf numFmtId="0" fontId="17" fillId="8" borderId="15" xfId="1" applyFont="1" applyFill="1" applyBorder="1" applyAlignment="1">
      <alignment horizontal="center"/>
    </xf>
    <xf numFmtId="3" fontId="3" fillId="0" borderId="0" xfId="1" applyNumberFormat="1" applyFont="1" applyAlignment="1">
      <alignment vertical="center"/>
    </xf>
    <xf numFmtId="164" fontId="2" fillId="0" borderId="0" xfId="11" applyFont="1"/>
    <xf numFmtId="0" fontId="6" fillId="0" borderId="0" xfId="1" applyFont="1" applyFill="1" applyBorder="1" applyAlignment="1">
      <alignment horizontal="left" wrapText="1"/>
    </xf>
    <xf numFmtId="0" fontId="8" fillId="0" borderId="0" xfId="1" applyFont="1" applyFill="1" applyBorder="1" applyAlignment="1">
      <alignment horizontal="right"/>
    </xf>
    <xf numFmtId="0" fontId="8" fillId="0" borderId="22" xfId="1" applyFont="1" applyFill="1" applyBorder="1" applyAlignment="1">
      <alignment horizontal="right"/>
    </xf>
    <xf numFmtId="0" fontId="8" fillId="0" borderId="23" xfId="1" applyFont="1" applyFill="1" applyBorder="1" applyAlignment="1">
      <alignment horizontal="right"/>
    </xf>
    <xf numFmtId="0" fontId="8" fillId="0" borderId="24" xfId="1" applyFont="1" applyFill="1" applyBorder="1" applyAlignment="1">
      <alignment horizontal="right"/>
    </xf>
    <xf numFmtId="0" fontId="5" fillId="2" borderId="0" xfId="1" applyFont="1" applyFill="1" applyAlignment="1">
      <alignment horizontal="center" vertical="center"/>
    </xf>
    <xf numFmtId="0" fontId="5" fillId="2" borderId="0" xfId="1" applyFont="1" applyFill="1" applyAlignment="1">
      <alignment horizontal="center"/>
    </xf>
    <xf numFmtId="0" fontId="20" fillId="8" borderId="10" xfId="1" applyFont="1" applyFill="1" applyBorder="1" applyAlignment="1">
      <alignment horizontal="center" wrapText="1"/>
    </xf>
    <xf numFmtId="0" fontId="20" fillId="8" borderId="15" xfId="1" applyFont="1" applyFill="1" applyBorder="1" applyAlignment="1">
      <alignment horizontal="center" wrapText="1"/>
    </xf>
    <xf numFmtId="0" fontId="17" fillId="8" borderId="10" xfId="1" applyFont="1" applyFill="1" applyBorder="1" applyAlignment="1">
      <alignment horizontal="center"/>
    </xf>
    <xf numFmtId="0" fontId="17" fillId="8" borderId="15" xfId="1" applyFont="1" applyFill="1" applyBorder="1" applyAlignment="1">
      <alignment horizontal="center"/>
    </xf>
    <xf numFmtId="0" fontId="17" fillId="8" borderId="19" xfId="1" applyFont="1" applyFill="1" applyBorder="1" applyAlignment="1">
      <alignment horizontal="center"/>
    </xf>
    <xf numFmtId="0" fontId="17" fillId="8" borderId="6" xfId="1" applyFont="1" applyFill="1" applyBorder="1" applyAlignment="1">
      <alignment horizontal="center"/>
    </xf>
    <xf numFmtId="0" fontId="6" fillId="0" borderId="22" xfId="1" applyFont="1" applyFill="1" applyBorder="1" applyAlignment="1">
      <alignment horizontal="left" vertical="center"/>
    </xf>
    <xf numFmtId="0" fontId="6" fillId="0" borderId="23" xfId="1" applyFont="1" applyFill="1" applyBorder="1" applyAlignment="1">
      <alignment horizontal="left" vertical="center"/>
    </xf>
    <xf numFmtId="0" fontId="6" fillId="0" borderId="24" xfId="1" applyFont="1" applyFill="1" applyBorder="1" applyAlignment="1">
      <alignment horizontal="left" vertical="center"/>
    </xf>
    <xf numFmtId="0" fontId="8" fillId="0" borderId="26" xfId="1" applyFont="1" applyBorder="1" applyAlignment="1">
      <alignment horizontal="left"/>
    </xf>
    <xf numFmtId="0" fontId="8" fillId="0" borderId="23" xfId="1" applyFont="1" applyBorder="1" applyAlignment="1">
      <alignment horizontal="left"/>
    </xf>
    <xf numFmtId="0" fontId="8" fillId="0" borderId="24" xfId="1" applyFont="1" applyBorder="1" applyAlignment="1">
      <alignment horizontal="left"/>
    </xf>
    <xf numFmtId="0" fontId="8" fillId="0" borderId="22" xfId="1" applyFont="1" applyFill="1" applyBorder="1" applyAlignment="1">
      <alignment horizontal="center"/>
    </xf>
    <xf numFmtId="0" fontId="8" fillId="0" borderId="25" xfId="1" applyFont="1" applyFill="1" applyBorder="1" applyAlignment="1">
      <alignment horizontal="center"/>
    </xf>
  </cellXfs>
  <cellStyles count="12">
    <cellStyle name="Millares [0]" xfId="11" builtinId="6"/>
    <cellStyle name="Millares 2" xfId="2"/>
    <cellStyle name="Millares 2 2" xfId="10"/>
    <cellStyle name="Millares 3" xfId="4"/>
    <cellStyle name="Millares 4" xfId="6"/>
    <cellStyle name="Millares 4 2" xfId="8"/>
    <cellStyle name="Normal" xfId="0" builtinId="0"/>
    <cellStyle name="Normal 2" xfId="1"/>
    <cellStyle name="Normal 3" xfId="5"/>
    <cellStyle name="Normal 3 2" xfId="9"/>
    <cellStyle name="Normal 4" xfId="7"/>
    <cellStyle name="Porcentaje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104511</xdr:colOff>
      <xdr:row>0</xdr:row>
      <xdr:rowOff>0</xdr:rowOff>
    </xdr:from>
    <xdr:to>
      <xdr:col>1</xdr:col>
      <xdr:colOff>152135</xdr:colOff>
      <xdr:row>3</xdr:row>
      <xdr:rowOff>226219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511" y="0"/>
          <a:ext cx="1266824" cy="912019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95251</xdr:colOff>
      <xdr:row>0</xdr:row>
      <xdr:rowOff>0</xdr:rowOff>
    </xdr:from>
    <xdr:to>
      <xdr:col>1</xdr:col>
      <xdr:colOff>142875</xdr:colOff>
      <xdr:row>3</xdr:row>
      <xdr:rowOff>226219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1" y="0"/>
          <a:ext cx="1262062" cy="90487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95251</xdr:colOff>
      <xdr:row>0</xdr:row>
      <xdr:rowOff>0</xdr:rowOff>
    </xdr:from>
    <xdr:to>
      <xdr:col>1</xdr:col>
      <xdr:colOff>142875</xdr:colOff>
      <xdr:row>3</xdr:row>
      <xdr:rowOff>226219</xdr:rowOff>
    </xdr:to>
    <xdr:pic>
      <xdr:nvPicPr>
        <xdr:cNvPr id="3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1" y="0"/>
          <a:ext cx="1266824" cy="912019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95251</xdr:colOff>
      <xdr:row>0</xdr:row>
      <xdr:rowOff>0</xdr:rowOff>
    </xdr:from>
    <xdr:to>
      <xdr:col>1</xdr:col>
      <xdr:colOff>142875</xdr:colOff>
      <xdr:row>3</xdr:row>
      <xdr:rowOff>226219</xdr:rowOff>
    </xdr:to>
    <xdr:pic>
      <xdr:nvPicPr>
        <xdr:cNvPr id="3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1" y="0"/>
          <a:ext cx="1266824" cy="91201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104511</xdr:colOff>
      <xdr:row>0</xdr:row>
      <xdr:rowOff>0</xdr:rowOff>
    </xdr:from>
    <xdr:to>
      <xdr:col>1</xdr:col>
      <xdr:colOff>152135</xdr:colOff>
      <xdr:row>3</xdr:row>
      <xdr:rowOff>226219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511" y="0"/>
          <a:ext cx="1266824" cy="91201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104511</xdr:colOff>
      <xdr:row>0</xdr:row>
      <xdr:rowOff>0</xdr:rowOff>
    </xdr:from>
    <xdr:to>
      <xdr:col>1</xdr:col>
      <xdr:colOff>152135</xdr:colOff>
      <xdr:row>3</xdr:row>
      <xdr:rowOff>226219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511" y="0"/>
          <a:ext cx="1266824" cy="91201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104511</xdr:colOff>
      <xdr:row>0</xdr:row>
      <xdr:rowOff>0</xdr:rowOff>
    </xdr:from>
    <xdr:to>
      <xdr:col>1</xdr:col>
      <xdr:colOff>152135</xdr:colOff>
      <xdr:row>3</xdr:row>
      <xdr:rowOff>226219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511" y="0"/>
          <a:ext cx="1264707" cy="92471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83345</xdr:colOff>
      <xdr:row>0</xdr:row>
      <xdr:rowOff>0</xdr:rowOff>
    </xdr:from>
    <xdr:to>
      <xdr:col>1</xdr:col>
      <xdr:colOff>130969</xdr:colOff>
      <xdr:row>3</xdr:row>
      <xdr:rowOff>226219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345" y="0"/>
          <a:ext cx="1266824" cy="91201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83345</xdr:colOff>
      <xdr:row>0</xdr:row>
      <xdr:rowOff>0</xdr:rowOff>
    </xdr:from>
    <xdr:to>
      <xdr:col>1</xdr:col>
      <xdr:colOff>130969</xdr:colOff>
      <xdr:row>3</xdr:row>
      <xdr:rowOff>226219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345" y="0"/>
          <a:ext cx="1266824" cy="91201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83345</xdr:colOff>
      <xdr:row>0</xdr:row>
      <xdr:rowOff>0</xdr:rowOff>
    </xdr:from>
    <xdr:to>
      <xdr:col>1</xdr:col>
      <xdr:colOff>130969</xdr:colOff>
      <xdr:row>3</xdr:row>
      <xdr:rowOff>226219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345" y="0"/>
          <a:ext cx="1262062" cy="90487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95251</xdr:colOff>
      <xdr:row>0</xdr:row>
      <xdr:rowOff>0</xdr:rowOff>
    </xdr:from>
    <xdr:to>
      <xdr:col>1</xdr:col>
      <xdr:colOff>142875</xdr:colOff>
      <xdr:row>3</xdr:row>
      <xdr:rowOff>226219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1" y="0"/>
          <a:ext cx="1266824" cy="912019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95251</xdr:colOff>
      <xdr:row>0</xdr:row>
      <xdr:rowOff>0</xdr:rowOff>
    </xdr:from>
    <xdr:to>
      <xdr:col>1</xdr:col>
      <xdr:colOff>142875</xdr:colOff>
      <xdr:row>3</xdr:row>
      <xdr:rowOff>226219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1" y="0"/>
          <a:ext cx="1266824" cy="9120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9"/>
  <sheetViews>
    <sheetView showGridLines="0" tabSelected="1" zoomScale="80" zoomScaleNormal="80" zoomScaleSheetLayoutView="8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K27" sqref="K27"/>
    </sheetView>
  </sheetViews>
  <sheetFormatPr baseColWidth="10" defaultRowHeight="14.25" x14ac:dyDescent="0.2"/>
  <cols>
    <col min="1" max="1" width="16" style="1" customWidth="1"/>
    <col min="2" max="2" width="49.625" style="1" customWidth="1"/>
    <col min="3" max="3" width="21.625" style="1" customWidth="1"/>
    <col min="4" max="4" width="16.125" style="1" customWidth="1"/>
    <col min="5" max="5" width="19.75" style="1" bestFit="1" customWidth="1"/>
    <col min="6" max="6" width="14.625" style="1" customWidth="1"/>
    <col min="7" max="8" width="15.125" style="1" bestFit="1" customWidth="1"/>
    <col min="9" max="9" width="17.875" style="1" bestFit="1" customWidth="1"/>
    <col min="10" max="10" width="20.625" style="1" bestFit="1" customWidth="1"/>
    <col min="11" max="11" width="15" style="1" bestFit="1" customWidth="1"/>
    <col min="12" max="12" width="16" style="1" customWidth="1"/>
    <col min="13" max="13" width="11.875" style="1" bestFit="1" customWidth="1"/>
    <col min="14" max="14" width="17.375" style="41" hidden="1" customWidth="1"/>
    <col min="15" max="15" width="16.25" style="1" bestFit="1" customWidth="1"/>
    <col min="16" max="16" width="8.5" style="1" customWidth="1"/>
    <col min="17" max="17" width="12" style="1" bestFit="1" customWidth="1"/>
    <col min="18" max="18" width="10.125" style="1" bestFit="1" customWidth="1"/>
    <col min="19" max="257" width="11" style="1"/>
    <col min="258" max="258" width="16" style="1" customWidth="1"/>
    <col min="259" max="259" width="49.625" style="1" customWidth="1"/>
    <col min="260" max="260" width="15.25" style="1" customWidth="1"/>
    <col min="261" max="267" width="14.625" style="1" customWidth="1"/>
    <col min="268" max="268" width="0" style="1" hidden="1" customWidth="1"/>
    <col min="269" max="269" width="7.875" style="1" customWidth="1"/>
    <col min="270" max="270" width="17.375" style="1" customWidth="1"/>
    <col min="271" max="271" width="14.625" style="1" customWidth="1"/>
    <col min="272" max="272" width="8.5" style="1" customWidth="1"/>
    <col min="273" max="273" width="11" style="1"/>
    <col min="274" max="274" width="10.125" style="1" bestFit="1" customWidth="1"/>
    <col min="275" max="513" width="11" style="1"/>
    <col min="514" max="514" width="16" style="1" customWidth="1"/>
    <col min="515" max="515" width="49.625" style="1" customWidth="1"/>
    <col min="516" max="516" width="15.25" style="1" customWidth="1"/>
    <col min="517" max="523" width="14.625" style="1" customWidth="1"/>
    <col min="524" max="524" width="0" style="1" hidden="1" customWidth="1"/>
    <col min="525" max="525" width="7.875" style="1" customWidth="1"/>
    <col min="526" max="526" width="17.375" style="1" customWidth="1"/>
    <col min="527" max="527" width="14.625" style="1" customWidth="1"/>
    <col min="528" max="528" width="8.5" style="1" customWidth="1"/>
    <col min="529" max="529" width="11" style="1"/>
    <col min="530" max="530" width="10.125" style="1" bestFit="1" customWidth="1"/>
    <col min="531" max="769" width="11" style="1"/>
    <col min="770" max="770" width="16" style="1" customWidth="1"/>
    <col min="771" max="771" width="49.625" style="1" customWidth="1"/>
    <col min="772" max="772" width="15.25" style="1" customWidth="1"/>
    <col min="773" max="779" width="14.625" style="1" customWidth="1"/>
    <col min="780" max="780" width="0" style="1" hidden="1" customWidth="1"/>
    <col min="781" max="781" width="7.875" style="1" customWidth="1"/>
    <col min="782" max="782" width="17.375" style="1" customWidth="1"/>
    <col min="783" max="783" width="14.625" style="1" customWidth="1"/>
    <col min="784" max="784" width="8.5" style="1" customWidth="1"/>
    <col min="785" max="785" width="11" style="1"/>
    <col min="786" max="786" width="10.125" style="1" bestFit="1" customWidth="1"/>
    <col min="787" max="1025" width="11" style="1"/>
    <col min="1026" max="1026" width="16" style="1" customWidth="1"/>
    <col min="1027" max="1027" width="49.625" style="1" customWidth="1"/>
    <col min="1028" max="1028" width="15.25" style="1" customWidth="1"/>
    <col min="1029" max="1035" width="14.625" style="1" customWidth="1"/>
    <col min="1036" max="1036" width="0" style="1" hidden="1" customWidth="1"/>
    <col min="1037" max="1037" width="7.875" style="1" customWidth="1"/>
    <col min="1038" max="1038" width="17.375" style="1" customWidth="1"/>
    <col min="1039" max="1039" width="14.625" style="1" customWidth="1"/>
    <col min="1040" max="1040" width="8.5" style="1" customWidth="1"/>
    <col min="1041" max="1041" width="11" style="1"/>
    <col min="1042" max="1042" width="10.125" style="1" bestFit="1" customWidth="1"/>
    <col min="1043" max="1281" width="11" style="1"/>
    <col min="1282" max="1282" width="16" style="1" customWidth="1"/>
    <col min="1283" max="1283" width="49.625" style="1" customWidth="1"/>
    <col min="1284" max="1284" width="15.25" style="1" customWidth="1"/>
    <col min="1285" max="1291" width="14.625" style="1" customWidth="1"/>
    <col min="1292" max="1292" width="0" style="1" hidden="1" customWidth="1"/>
    <col min="1293" max="1293" width="7.875" style="1" customWidth="1"/>
    <col min="1294" max="1294" width="17.375" style="1" customWidth="1"/>
    <col min="1295" max="1295" width="14.625" style="1" customWidth="1"/>
    <col min="1296" max="1296" width="8.5" style="1" customWidth="1"/>
    <col min="1297" max="1297" width="11" style="1"/>
    <col min="1298" max="1298" width="10.125" style="1" bestFit="1" customWidth="1"/>
    <col min="1299" max="1537" width="11" style="1"/>
    <col min="1538" max="1538" width="16" style="1" customWidth="1"/>
    <col min="1539" max="1539" width="49.625" style="1" customWidth="1"/>
    <col min="1540" max="1540" width="15.25" style="1" customWidth="1"/>
    <col min="1541" max="1547" width="14.625" style="1" customWidth="1"/>
    <col min="1548" max="1548" width="0" style="1" hidden="1" customWidth="1"/>
    <col min="1549" max="1549" width="7.875" style="1" customWidth="1"/>
    <col min="1550" max="1550" width="17.375" style="1" customWidth="1"/>
    <col min="1551" max="1551" width="14.625" style="1" customWidth="1"/>
    <col min="1552" max="1552" width="8.5" style="1" customWidth="1"/>
    <col min="1553" max="1553" width="11" style="1"/>
    <col min="1554" max="1554" width="10.125" style="1" bestFit="1" customWidth="1"/>
    <col min="1555" max="1793" width="11" style="1"/>
    <col min="1794" max="1794" width="16" style="1" customWidth="1"/>
    <col min="1795" max="1795" width="49.625" style="1" customWidth="1"/>
    <col min="1796" max="1796" width="15.25" style="1" customWidth="1"/>
    <col min="1797" max="1803" width="14.625" style="1" customWidth="1"/>
    <col min="1804" max="1804" width="0" style="1" hidden="1" customWidth="1"/>
    <col min="1805" max="1805" width="7.875" style="1" customWidth="1"/>
    <col min="1806" max="1806" width="17.375" style="1" customWidth="1"/>
    <col min="1807" max="1807" width="14.625" style="1" customWidth="1"/>
    <col min="1808" max="1808" width="8.5" style="1" customWidth="1"/>
    <col min="1809" max="1809" width="11" style="1"/>
    <col min="1810" max="1810" width="10.125" style="1" bestFit="1" customWidth="1"/>
    <col min="1811" max="2049" width="11" style="1"/>
    <col min="2050" max="2050" width="16" style="1" customWidth="1"/>
    <col min="2051" max="2051" width="49.625" style="1" customWidth="1"/>
    <col min="2052" max="2052" width="15.25" style="1" customWidth="1"/>
    <col min="2053" max="2059" width="14.625" style="1" customWidth="1"/>
    <col min="2060" max="2060" width="0" style="1" hidden="1" customWidth="1"/>
    <col min="2061" max="2061" width="7.875" style="1" customWidth="1"/>
    <col min="2062" max="2062" width="17.375" style="1" customWidth="1"/>
    <col min="2063" max="2063" width="14.625" style="1" customWidth="1"/>
    <col min="2064" max="2064" width="8.5" style="1" customWidth="1"/>
    <col min="2065" max="2065" width="11" style="1"/>
    <col min="2066" max="2066" width="10.125" style="1" bestFit="1" customWidth="1"/>
    <col min="2067" max="2305" width="11" style="1"/>
    <col min="2306" max="2306" width="16" style="1" customWidth="1"/>
    <col min="2307" max="2307" width="49.625" style="1" customWidth="1"/>
    <col min="2308" max="2308" width="15.25" style="1" customWidth="1"/>
    <col min="2309" max="2315" width="14.625" style="1" customWidth="1"/>
    <col min="2316" max="2316" width="0" style="1" hidden="1" customWidth="1"/>
    <col min="2317" max="2317" width="7.875" style="1" customWidth="1"/>
    <col min="2318" max="2318" width="17.375" style="1" customWidth="1"/>
    <col min="2319" max="2319" width="14.625" style="1" customWidth="1"/>
    <col min="2320" max="2320" width="8.5" style="1" customWidth="1"/>
    <col min="2321" max="2321" width="11" style="1"/>
    <col min="2322" max="2322" width="10.125" style="1" bestFit="1" customWidth="1"/>
    <col min="2323" max="2561" width="11" style="1"/>
    <col min="2562" max="2562" width="16" style="1" customWidth="1"/>
    <col min="2563" max="2563" width="49.625" style="1" customWidth="1"/>
    <col min="2564" max="2564" width="15.25" style="1" customWidth="1"/>
    <col min="2565" max="2571" width="14.625" style="1" customWidth="1"/>
    <col min="2572" max="2572" width="0" style="1" hidden="1" customWidth="1"/>
    <col min="2573" max="2573" width="7.875" style="1" customWidth="1"/>
    <col min="2574" max="2574" width="17.375" style="1" customWidth="1"/>
    <col min="2575" max="2575" width="14.625" style="1" customWidth="1"/>
    <col min="2576" max="2576" width="8.5" style="1" customWidth="1"/>
    <col min="2577" max="2577" width="11" style="1"/>
    <col min="2578" max="2578" width="10.125" style="1" bestFit="1" customWidth="1"/>
    <col min="2579" max="2817" width="11" style="1"/>
    <col min="2818" max="2818" width="16" style="1" customWidth="1"/>
    <col min="2819" max="2819" width="49.625" style="1" customWidth="1"/>
    <col min="2820" max="2820" width="15.25" style="1" customWidth="1"/>
    <col min="2821" max="2827" width="14.625" style="1" customWidth="1"/>
    <col min="2828" max="2828" width="0" style="1" hidden="1" customWidth="1"/>
    <col min="2829" max="2829" width="7.875" style="1" customWidth="1"/>
    <col min="2830" max="2830" width="17.375" style="1" customWidth="1"/>
    <col min="2831" max="2831" width="14.625" style="1" customWidth="1"/>
    <col min="2832" max="2832" width="8.5" style="1" customWidth="1"/>
    <col min="2833" max="2833" width="11" style="1"/>
    <col min="2834" max="2834" width="10.125" style="1" bestFit="1" customWidth="1"/>
    <col min="2835" max="3073" width="11" style="1"/>
    <col min="3074" max="3074" width="16" style="1" customWidth="1"/>
    <col min="3075" max="3075" width="49.625" style="1" customWidth="1"/>
    <col min="3076" max="3076" width="15.25" style="1" customWidth="1"/>
    <col min="3077" max="3083" width="14.625" style="1" customWidth="1"/>
    <col min="3084" max="3084" width="0" style="1" hidden="1" customWidth="1"/>
    <col min="3085" max="3085" width="7.875" style="1" customWidth="1"/>
    <col min="3086" max="3086" width="17.375" style="1" customWidth="1"/>
    <col min="3087" max="3087" width="14.625" style="1" customWidth="1"/>
    <col min="3088" max="3088" width="8.5" style="1" customWidth="1"/>
    <col min="3089" max="3089" width="11" style="1"/>
    <col min="3090" max="3090" width="10.125" style="1" bestFit="1" customWidth="1"/>
    <col min="3091" max="3329" width="11" style="1"/>
    <col min="3330" max="3330" width="16" style="1" customWidth="1"/>
    <col min="3331" max="3331" width="49.625" style="1" customWidth="1"/>
    <col min="3332" max="3332" width="15.25" style="1" customWidth="1"/>
    <col min="3333" max="3339" width="14.625" style="1" customWidth="1"/>
    <col min="3340" max="3340" width="0" style="1" hidden="1" customWidth="1"/>
    <col min="3341" max="3341" width="7.875" style="1" customWidth="1"/>
    <col min="3342" max="3342" width="17.375" style="1" customWidth="1"/>
    <col min="3343" max="3343" width="14.625" style="1" customWidth="1"/>
    <col min="3344" max="3344" width="8.5" style="1" customWidth="1"/>
    <col min="3345" max="3345" width="11" style="1"/>
    <col min="3346" max="3346" width="10.125" style="1" bestFit="1" customWidth="1"/>
    <col min="3347" max="3585" width="11" style="1"/>
    <col min="3586" max="3586" width="16" style="1" customWidth="1"/>
    <col min="3587" max="3587" width="49.625" style="1" customWidth="1"/>
    <col min="3588" max="3588" width="15.25" style="1" customWidth="1"/>
    <col min="3589" max="3595" width="14.625" style="1" customWidth="1"/>
    <col min="3596" max="3596" width="0" style="1" hidden="1" customWidth="1"/>
    <col min="3597" max="3597" width="7.875" style="1" customWidth="1"/>
    <col min="3598" max="3598" width="17.375" style="1" customWidth="1"/>
    <col min="3599" max="3599" width="14.625" style="1" customWidth="1"/>
    <col min="3600" max="3600" width="8.5" style="1" customWidth="1"/>
    <col min="3601" max="3601" width="11" style="1"/>
    <col min="3602" max="3602" width="10.125" style="1" bestFit="1" customWidth="1"/>
    <col min="3603" max="3841" width="11" style="1"/>
    <col min="3842" max="3842" width="16" style="1" customWidth="1"/>
    <col min="3843" max="3843" width="49.625" style="1" customWidth="1"/>
    <col min="3844" max="3844" width="15.25" style="1" customWidth="1"/>
    <col min="3845" max="3851" width="14.625" style="1" customWidth="1"/>
    <col min="3852" max="3852" width="0" style="1" hidden="1" customWidth="1"/>
    <col min="3853" max="3853" width="7.875" style="1" customWidth="1"/>
    <col min="3854" max="3854" width="17.375" style="1" customWidth="1"/>
    <col min="3855" max="3855" width="14.625" style="1" customWidth="1"/>
    <col min="3856" max="3856" width="8.5" style="1" customWidth="1"/>
    <col min="3857" max="3857" width="11" style="1"/>
    <col min="3858" max="3858" width="10.125" style="1" bestFit="1" customWidth="1"/>
    <col min="3859" max="4097" width="11" style="1"/>
    <col min="4098" max="4098" width="16" style="1" customWidth="1"/>
    <col min="4099" max="4099" width="49.625" style="1" customWidth="1"/>
    <col min="4100" max="4100" width="15.25" style="1" customWidth="1"/>
    <col min="4101" max="4107" width="14.625" style="1" customWidth="1"/>
    <col min="4108" max="4108" width="0" style="1" hidden="1" customWidth="1"/>
    <col min="4109" max="4109" width="7.875" style="1" customWidth="1"/>
    <col min="4110" max="4110" width="17.375" style="1" customWidth="1"/>
    <col min="4111" max="4111" width="14.625" style="1" customWidth="1"/>
    <col min="4112" max="4112" width="8.5" style="1" customWidth="1"/>
    <col min="4113" max="4113" width="11" style="1"/>
    <col min="4114" max="4114" width="10.125" style="1" bestFit="1" customWidth="1"/>
    <col min="4115" max="4353" width="11" style="1"/>
    <col min="4354" max="4354" width="16" style="1" customWidth="1"/>
    <col min="4355" max="4355" width="49.625" style="1" customWidth="1"/>
    <col min="4356" max="4356" width="15.25" style="1" customWidth="1"/>
    <col min="4357" max="4363" width="14.625" style="1" customWidth="1"/>
    <col min="4364" max="4364" width="0" style="1" hidden="1" customWidth="1"/>
    <col min="4365" max="4365" width="7.875" style="1" customWidth="1"/>
    <col min="4366" max="4366" width="17.375" style="1" customWidth="1"/>
    <col min="4367" max="4367" width="14.625" style="1" customWidth="1"/>
    <col min="4368" max="4368" width="8.5" style="1" customWidth="1"/>
    <col min="4369" max="4369" width="11" style="1"/>
    <col min="4370" max="4370" width="10.125" style="1" bestFit="1" customWidth="1"/>
    <col min="4371" max="4609" width="11" style="1"/>
    <col min="4610" max="4610" width="16" style="1" customWidth="1"/>
    <col min="4611" max="4611" width="49.625" style="1" customWidth="1"/>
    <col min="4612" max="4612" width="15.25" style="1" customWidth="1"/>
    <col min="4613" max="4619" width="14.625" style="1" customWidth="1"/>
    <col min="4620" max="4620" width="0" style="1" hidden="1" customWidth="1"/>
    <col min="4621" max="4621" width="7.875" style="1" customWidth="1"/>
    <col min="4622" max="4622" width="17.375" style="1" customWidth="1"/>
    <col min="4623" max="4623" width="14.625" style="1" customWidth="1"/>
    <col min="4624" max="4624" width="8.5" style="1" customWidth="1"/>
    <col min="4625" max="4625" width="11" style="1"/>
    <col min="4626" max="4626" width="10.125" style="1" bestFit="1" customWidth="1"/>
    <col min="4627" max="4865" width="11" style="1"/>
    <col min="4866" max="4866" width="16" style="1" customWidth="1"/>
    <col min="4867" max="4867" width="49.625" style="1" customWidth="1"/>
    <col min="4868" max="4868" width="15.25" style="1" customWidth="1"/>
    <col min="4869" max="4875" width="14.625" style="1" customWidth="1"/>
    <col min="4876" max="4876" width="0" style="1" hidden="1" customWidth="1"/>
    <col min="4877" max="4877" width="7.875" style="1" customWidth="1"/>
    <col min="4878" max="4878" width="17.375" style="1" customWidth="1"/>
    <col min="4879" max="4879" width="14.625" style="1" customWidth="1"/>
    <col min="4880" max="4880" width="8.5" style="1" customWidth="1"/>
    <col min="4881" max="4881" width="11" style="1"/>
    <col min="4882" max="4882" width="10.125" style="1" bestFit="1" customWidth="1"/>
    <col min="4883" max="5121" width="11" style="1"/>
    <col min="5122" max="5122" width="16" style="1" customWidth="1"/>
    <col min="5123" max="5123" width="49.625" style="1" customWidth="1"/>
    <col min="5124" max="5124" width="15.25" style="1" customWidth="1"/>
    <col min="5125" max="5131" width="14.625" style="1" customWidth="1"/>
    <col min="5132" max="5132" width="0" style="1" hidden="1" customWidth="1"/>
    <col min="5133" max="5133" width="7.875" style="1" customWidth="1"/>
    <col min="5134" max="5134" width="17.375" style="1" customWidth="1"/>
    <col min="5135" max="5135" width="14.625" style="1" customWidth="1"/>
    <col min="5136" max="5136" width="8.5" style="1" customWidth="1"/>
    <col min="5137" max="5137" width="11" style="1"/>
    <col min="5138" max="5138" width="10.125" style="1" bestFit="1" customWidth="1"/>
    <col min="5139" max="5377" width="11" style="1"/>
    <col min="5378" max="5378" width="16" style="1" customWidth="1"/>
    <col min="5379" max="5379" width="49.625" style="1" customWidth="1"/>
    <col min="5380" max="5380" width="15.25" style="1" customWidth="1"/>
    <col min="5381" max="5387" width="14.625" style="1" customWidth="1"/>
    <col min="5388" max="5388" width="0" style="1" hidden="1" customWidth="1"/>
    <col min="5389" max="5389" width="7.875" style="1" customWidth="1"/>
    <col min="5390" max="5390" width="17.375" style="1" customWidth="1"/>
    <col min="5391" max="5391" width="14.625" style="1" customWidth="1"/>
    <col min="5392" max="5392" width="8.5" style="1" customWidth="1"/>
    <col min="5393" max="5393" width="11" style="1"/>
    <col min="5394" max="5394" width="10.125" style="1" bestFit="1" customWidth="1"/>
    <col min="5395" max="5633" width="11" style="1"/>
    <col min="5634" max="5634" width="16" style="1" customWidth="1"/>
    <col min="5635" max="5635" width="49.625" style="1" customWidth="1"/>
    <col min="5636" max="5636" width="15.25" style="1" customWidth="1"/>
    <col min="5637" max="5643" width="14.625" style="1" customWidth="1"/>
    <col min="5644" max="5644" width="0" style="1" hidden="1" customWidth="1"/>
    <col min="5645" max="5645" width="7.875" style="1" customWidth="1"/>
    <col min="5646" max="5646" width="17.375" style="1" customWidth="1"/>
    <col min="5647" max="5647" width="14.625" style="1" customWidth="1"/>
    <col min="5648" max="5648" width="8.5" style="1" customWidth="1"/>
    <col min="5649" max="5649" width="11" style="1"/>
    <col min="5650" max="5650" width="10.125" style="1" bestFit="1" customWidth="1"/>
    <col min="5651" max="5889" width="11" style="1"/>
    <col min="5890" max="5890" width="16" style="1" customWidth="1"/>
    <col min="5891" max="5891" width="49.625" style="1" customWidth="1"/>
    <col min="5892" max="5892" width="15.25" style="1" customWidth="1"/>
    <col min="5893" max="5899" width="14.625" style="1" customWidth="1"/>
    <col min="5900" max="5900" width="0" style="1" hidden="1" customWidth="1"/>
    <col min="5901" max="5901" width="7.875" style="1" customWidth="1"/>
    <col min="5902" max="5902" width="17.375" style="1" customWidth="1"/>
    <col min="5903" max="5903" width="14.625" style="1" customWidth="1"/>
    <col min="5904" max="5904" width="8.5" style="1" customWidth="1"/>
    <col min="5905" max="5905" width="11" style="1"/>
    <col min="5906" max="5906" width="10.125" style="1" bestFit="1" customWidth="1"/>
    <col min="5907" max="6145" width="11" style="1"/>
    <col min="6146" max="6146" width="16" style="1" customWidth="1"/>
    <col min="6147" max="6147" width="49.625" style="1" customWidth="1"/>
    <col min="6148" max="6148" width="15.25" style="1" customWidth="1"/>
    <col min="6149" max="6155" width="14.625" style="1" customWidth="1"/>
    <col min="6156" max="6156" width="0" style="1" hidden="1" customWidth="1"/>
    <col min="6157" max="6157" width="7.875" style="1" customWidth="1"/>
    <col min="6158" max="6158" width="17.375" style="1" customWidth="1"/>
    <col min="6159" max="6159" width="14.625" style="1" customWidth="1"/>
    <col min="6160" max="6160" width="8.5" style="1" customWidth="1"/>
    <col min="6161" max="6161" width="11" style="1"/>
    <col min="6162" max="6162" width="10.125" style="1" bestFit="1" customWidth="1"/>
    <col min="6163" max="6401" width="11" style="1"/>
    <col min="6402" max="6402" width="16" style="1" customWidth="1"/>
    <col min="6403" max="6403" width="49.625" style="1" customWidth="1"/>
    <col min="6404" max="6404" width="15.25" style="1" customWidth="1"/>
    <col min="6405" max="6411" width="14.625" style="1" customWidth="1"/>
    <col min="6412" max="6412" width="0" style="1" hidden="1" customWidth="1"/>
    <col min="6413" max="6413" width="7.875" style="1" customWidth="1"/>
    <col min="6414" max="6414" width="17.375" style="1" customWidth="1"/>
    <col min="6415" max="6415" width="14.625" style="1" customWidth="1"/>
    <col min="6416" max="6416" width="8.5" style="1" customWidth="1"/>
    <col min="6417" max="6417" width="11" style="1"/>
    <col min="6418" max="6418" width="10.125" style="1" bestFit="1" customWidth="1"/>
    <col min="6419" max="6657" width="11" style="1"/>
    <col min="6658" max="6658" width="16" style="1" customWidth="1"/>
    <col min="6659" max="6659" width="49.625" style="1" customWidth="1"/>
    <col min="6660" max="6660" width="15.25" style="1" customWidth="1"/>
    <col min="6661" max="6667" width="14.625" style="1" customWidth="1"/>
    <col min="6668" max="6668" width="0" style="1" hidden="1" customWidth="1"/>
    <col min="6669" max="6669" width="7.875" style="1" customWidth="1"/>
    <col min="6670" max="6670" width="17.375" style="1" customWidth="1"/>
    <col min="6671" max="6671" width="14.625" style="1" customWidth="1"/>
    <col min="6672" max="6672" width="8.5" style="1" customWidth="1"/>
    <col min="6673" max="6673" width="11" style="1"/>
    <col min="6674" max="6674" width="10.125" style="1" bestFit="1" customWidth="1"/>
    <col min="6675" max="6913" width="11" style="1"/>
    <col min="6914" max="6914" width="16" style="1" customWidth="1"/>
    <col min="6915" max="6915" width="49.625" style="1" customWidth="1"/>
    <col min="6916" max="6916" width="15.25" style="1" customWidth="1"/>
    <col min="6917" max="6923" width="14.625" style="1" customWidth="1"/>
    <col min="6924" max="6924" width="0" style="1" hidden="1" customWidth="1"/>
    <col min="6925" max="6925" width="7.875" style="1" customWidth="1"/>
    <col min="6926" max="6926" width="17.375" style="1" customWidth="1"/>
    <col min="6927" max="6927" width="14.625" style="1" customWidth="1"/>
    <col min="6928" max="6928" width="8.5" style="1" customWidth="1"/>
    <col min="6929" max="6929" width="11" style="1"/>
    <col min="6930" max="6930" width="10.125" style="1" bestFit="1" customWidth="1"/>
    <col min="6931" max="7169" width="11" style="1"/>
    <col min="7170" max="7170" width="16" style="1" customWidth="1"/>
    <col min="7171" max="7171" width="49.625" style="1" customWidth="1"/>
    <col min="7172" max="7172" width="15.25" style="1" customWidth="1"/>
    <col min="7173" max="7179" width="14.625" style="1" customWidth="1"/>
    <col min="7180" max="7180" width="0" style="1" hidden="1" customWidth="1"/>
    <col min="7181" max="7181" width="7.875" style="1" customWidth="1"/>
    <col min="7182" max="7182" width="17.375" style="1" customWidth="1"/>
    <col min="7183" max="7183" width="14.625" style="1" customWidth="1"/>
    <col min="7184" max="7184" width="8.5" style="1" customWidth="1"/>
    <col min="7185" max="7185" width="11" style="1"/>
    <col min="7186" max="7186" width="10.125" style="1" bestFit="1" customWidth="1"/>
    <col min="7187" max="7425" width="11" style="1"/>
    <col min="7426" max="7426" width="16" style="1" customWidth="1"/>
    <col min="7427" max="7427" width="49.625" style="1" customWidth="1"/>
    <col min="7428" max="7428" width="15.25" style="1" customWidth="1"/>
    <col min="7429" max="7435" width="14.625" style="1" customWidth="1"/>
    <col min="7436" max="7436" width="0" style="1" hidden="1" customWidth="1"/>
    <col min="7437" max="7437" width="7.875" style="1" customWidth="1"/>
    <col min="7438" max="7438" width="17.375" style="1" customWidth="1"/>
    <col min="7439" max="7439" width="14.625" style="1" customWidth="1"/>
    <col min="7440" max="7440" width="8.5" style="1" customWidth="1"/>
    <col min="7441" max="7441" width="11" style="1"/>
    <col min="7442" max="7442" width="10.125" style="1" bestFit="1" customWidth="1"/>
    <col min="7443" max="7681" width="11" style="1"/>
    <col min="7682" max="7682" width="16" style="1" customWidth="1"/>
    <col min="7683" max="7683" width="49.625" style="1" customWidth="1"/>
    <col min="7684" max="7684" width="15.25" style="1" customWidth="1"/>
    <col min="7685" max="7691" width="14.625" style="1" customWidth="1"/>
    <col min="7692" max="7692" width="0" style="1" hidden="1" customWidth="1"/>
    <col min="7693" max="7693" width="7.875" style="1" customWidth="1"/>
    <col min="7694" max="7694" width="17.375" style="1" customWidth="1"/>
    <col min="7695" max="7695" width="14.625" style="1" customWidth="1"/>
    <col min="7696" max="7696" width="8.5" style="1" customWidth="1"/>
    <col min="7697" max="7697" width="11" style="1"/>
    <col min="7698" max="7698" width="10.125" style="1" bestFit="1" customWidth="1"/>
    <col min="7699" max="7937" width="11" style="1"/>
    <col min="7938" max="7938" width="16" style="1" customWidth="1"/>
    <col min="7939" max="7939" width="49.625" style="1" customWidth="1"/>
    <col min="7940" max="7940" width="15.25" style="1" customWidth="1"/>
    <col min="7941" max="7947" width="14.625" style="1" customWidth="1"/>
    <col min="7948" max="7948" width="0" style="1" hidden="1" customWidth="1"/>
    <col min="7949" max="7949" width="7.875" style="1" customWidth="1"/>
    <col min="7950" max="7950" width="17.375" style="1" customWidth="1"/>
    <col min="7951" max="7951" width="14.625" style="1" customWidth="1"/>
    <col min="7952" max="7952" width="8.5" style="1" customWidth="1"/>
    <col min="7953" max="7953" width="11" style="1"/>
    <col min="7954" max="7954" width="10.125" style="1" bestFit="1" customWidth="1"/>
    <col min="7955" max="8193" width="11" style="1"/>
    <col min="8194" max="8194" width="16" style="1" customWidth="1"/>
    <col min="8195" max="8195" width="49.625" style="1" customWidth="1"/>
    <col min="8196" max="8196" width="15.25" style="1" customWidth="1"/>
    <col min="8197" max="8203" width="14.625" style="1" customWidth="1"/>
    <col min="8204" max="8204" width="0" style="1" hidden="1" customWidth="1"/>
    <col min="8205" max="8205" width="7.875" style="1" customWidth="1"/>
    <col min="8206" max="8206" width="17.375" style="1" customWidth="1"/>
    <col min="8207" max="8207" width="14.625" style="1" customWidth="1"/>
    <col min="8208" max="8208" width="8.5" style="1" customWidth="1"/>
    <col min="8209" max="8209" width="11" style="1"/>
    <col min="8210" max="8210" width="10.125" style="1" bestFit="1" customWidth="1"/>
    <col min="8211" max="8449" width="11" style="1"/>
    <col min="8450" max="8450" width="16" style="1" customWidth="1"/>
    <col min="8451" max="8451" width="49.625" style="1" customWidth="1"/>
    <col min="8452" max="8452" width="15.25" style="1" customWidth="1"/>
    <col min="8453" max="8459" width="14.625" style="1" customWidth="1"/>
    <col min="8460" max="8460" width="0" style="1" hidden="1" customWidth="1"/>
    <col min="8461" max="8461" width="7.875" style="1" customWidth="1"/>
    <col min="8462" max="8462" width="17.375" style="1" customWidth="1"/>
    <col min="8463" max="8463" width="14.625" style="1" customWidth="1"/>
    <col min="8464" max="8464" width="8.5" style="1" customWidth="1"/>
    <col min="8465" max="8465" width="11" style="1"/>
    <col min="8466" max="8466" width="10.125" style="1" bestFit="1" customWidth="1"/>
    <col min="8467" max="8705" width="11" style="1"/>
    <col min="8706" max="8706" width="16" style="1" customWidth="1"/>
    <col min="8707" max="8707" width="49.625" style="1" customWidth="1"/>
    <col min="8708" max="8708" width="15.25" style="1" customWidth="1"/>
    <col min="8709" max="8715" width="14.625" style="1" customWidth="1"/>
    <col min="8716" max="8716" width="0" style="1" hidden="1" customWidth="1"/>
    <col min="8717" max="8717" width="7.875" style="1" customWidth="1"/>
    <col min="8718" max="8718" width="17.375" style="1" customWidth="1"/>
    <col min="8719" max="8719" width="14.625" style="1" customWidth="1"/>
    <col min="8720" max="8720" width="8.5" style="1" customWidth="1"/>
    <col min="8721" max="8721" width="11" style="1"/>
    <col min="8722" max="8722" width="10.125" style="1" bestFit="1" customWidth="1"/>
    <col min="8723" max="8961" width="11" style="1"/>
    <col min="8962" max="8962" width="16" style="1" customWidth="1"/>
    <col min="8963" max="8963" width="49.625" style="1" customWidth="1"/>
    <col min="8964" max="8964" width="15.25" style="1" customWidth="1"/>
    <col min="8965" max="8971" width="14.625" style="1" customWidth="1"/>
    <col min="8972" max="8972" width="0" style="1" hidden="1" customWidth="1"/>
    <col min="8973" max="8973" width="7.875" style="1" customWidth="1"/>
    <col min="8974" max="8974" width="17.375" style="1" customWidth="1"/>
    <col min="8975" max="8975" width="14.625" style="1" customWidth="1"/>
    <col min="8976" max="8976" width="8.5" style="1" customWidth="1"/>
    <col min="8977" max="8977" width="11" style="1"/>
    <col min="8978" max="8978" width="10.125" style="1" bestFit="1" customWidth="1"/>
    <col min="8979" max="9217" width="11" style="1"/>
    <col min="9218" max="9218" width="16" style="1" customWidth="1"/>
    <col min="9219" max="9219" width="49.625" style="1" customWidth="1"/>
    <col min="9220" max="9220" width="15.25" style="1" customWidth="1"/>
    <col min="9221" max="9227" width="14.625" style="1" customWidth="1"/>
    <col min="9228" max="9228" width="0" style="1" hidden="1" customWidth="1"/>
    <col min="9229" max="9229" width="7.875" style="1" customWidth="1"/>
    <col min="9230" max="9230" width="17.375" style="1" customWidth="1"/>
    <col min="9231" max="9231" width="14.625" style="1" customWidth="1"/>
    <col min="9232" max="9232" width="8.5" style="1" customWidth="1"/>
    <col min="9233" max="9233" width="11" style="1"/>
    <col min="9234" max="9234" width="10.125" style="1" bestFit="1" customWidth="1"/>
    <col min="9235" max="9473" width="11" style="1"/>
    <col min="9474" max="9474" width="16" style="1" customWidth="1"/>
    <col min="9475" max="9475" width="49.625" style="1" customWidth="1"/>
    <col min="9476" max="9476" width="15.25" style="1" customWidth="1"/>
    <col min="9477" max="9483" width="14.625" style="1" customWidth="1"/>
    <col min="9484" max="9484" width="0" style="1" hidden="1" customWidth="1"/>
    <col min="9485" max="9485" width="7.875" style="1" customWidth="1"/>
    <col min="9486" max="9486" width="17.375" style="1" customWidth="1"/>
    <col min="9487" max="9487" width="14.625" style="1" customWidth="1"/>
    <col min="9488" max="9488" width="8.5" style="1" customWidth="1"/>
    <col min="9489" max="9489" width="11" style="1"/>
    <col min="9490" max="9490" width="10.125" style="1" bestFit="1" customWidth="1"/>
    <col min="9491" max="9729" width="11" style="1"/>
    <col min="9730" max="9730" width="16" style="1" customWidth="1"/>
    <col min="9731" max="9731" width="49.625" style="1" customWidth="1"/>
    <col min="9732" max="9732" width="15.25" style="1" customWidth="1"/>
    <col min="9733" max="9739" width="14.625" style="1" customWidth="1"/>
    <col min="9740" max="9740" width="0" style="1" hidden="1" customWidth="1"/>
    <col min="9741" max="9741" width="7.875" style="1" customWidth="1"/>
    <col min="9742" max="9742" width="17.375" style="1" customWidth="1"/>
    <col min="9743" max="9743" width="14.625" style="1" customWidth="1"/>
    <col min="9744" max="9744" width="8.5" style="1" customWidth="1"/>
    <col min="9745" max="9745" width="11" style="1"/>
    <col min="9746" max="9746" width="10.125" style="1" bestFit="1" customWidth="1"/>
    <col min="9747" max="9985" width="11" style="1"/>
    <col min="9986" max="9986" width="16" style="1" customWidth="1"/>
    <col min="9987" max="9987" width="49.625" style="1" customWidth="1"/>
    <col min="9988" max="9988" width="15.25" style="1" customWidth="1"/>
    <col min="9989" max="9995" width="14.625" style="1" customWidth="1"/>
    <col min="9996" max="9996" width="0" style="1" hidden="1" customWidth="1"/>
    <col min="9997" max="9997" width="7.875" style="1" customWidth="1"/>
    <col min="9998" max="9998" width="17.375" style="1" customWidth="1"/>
    <col min="9999" max="9999" width="14.625" style="1" customWidth="1"/>
    <col min="10000" max="10000" width="8.5" style="1" customWidth="1"/>
    <col min="10001" max="10001" width="11" style="1"/>
    <col min="10002" max="10002" width="10.125" style="1" bestFit="1" customWidth="1"/>
    <col min="10003" max="10241" width="11" style="1"/>
    <col min="10242" max="10242" width="16" style="1" customWidth="1"/>
    <col min="10243" max="10243" width="49.625" style="1" customWidth="1"/>
    <col min="10244" max="10244" width="15.25" style="1" customWidth="1"/>
    <col min="10245" max="10251" width="14.625" style="1" customWidth="1"/>
    <col min="10252" max="10252" width="0" style="1" hidden="1" customWidth="1"/>
    <col min="10253" max="10253" width="7.875" style="1" customWidth="1"/>
    <col min="10254" max="10254" width="17.375" style="1" customWidth="1"/>
    <col min="10255" max="10255" width="14.625" style="1" customWidth="1"/>
    <col min="10256" max="10256" width="8.5" style="1" customWidth="1"/>
    <col min="10257" max="10257" width="11" style="1"/>
    <col min="10258" max="10258" width="10.125" style="1" bestFit="1" customWidth="1"/>
    <col min="10259" max="10497" width="11" style="1"/>
    <col min="10498" max="10498" width="16" style="1" customWidth="1"/>
    <col min="10499" max="10499" width="49.625" style="1" customWidth="1"/>
    <col min="10500" max="10500" width="15.25" style="1" customWidth="1"/>
    <col min="10501" max="10507" width="14.625" style="1" customWidth="1"/>
    <col min="10508" max="10508" width="0" style="1" hidden="1" customWidth="1"/>
    <col min="10509" max="10509" width="7.875" style="1" customWidth="1"/>
    <col min="10510" max="10510" width="17.375" style="1" customWidth="1"/>
    <col min="10511" max="10511" width="14.625" style="1" customWidth="1"/>
    <col min="10512" max="10512" width="8.5" style="1" customWidth="1"/>
    <col min="10513" max="10513" width="11" style="1"/>
    <col min="10514" max="10514" width="10.125" style="1" bestFit="1" customWidth="1"/>
    <col min="10515" max="10753" width="11" style="1"/>
    <col min="10754" max="10754" width="16" style="1" customWidth="1"/>
    <col min="10755" max="10755" width="49.625" style="1" customWidth="1"/>
    <col min="10756" max="10756" width="15.25" style="1" customWidth="1"/>
    <col min="10757" max="10763" width="14.625" style="1" customWidth="1"/>
    <col min="10764" max="10764" width="0" style="1" hidden="1" customWidth="1"/>
    <col min="10765" max="10765" width="7.875" style="1" customWidth="1"/>
    <col min="10766" max="10766" width="17.375" style="1" customWidth="1"/>
    <col min="10767" max="10767" width="14.625" style="1" customWidth="1"/>
    <col min="10768" max="10768" width="8.5" style="1" customWidth="1"/>
    <col min="10769" max="10769" width="11" style="1"/>
    <col min="10770" max="10770" width="10.125" style="1" bestFit="1" customWidth="1"/>
    <col min="10771" max="11009" width="11" style="1"/>
    <col min="11010" max="11010" width="16" style="1" customWidth="1"/>
    <col min="11011" max="11011" width="49.625" style="1" customWidth="1"/>
    <col min="11012" max="11012" width="15.25" style="1" customWidth="1"/>
    <col min="11013" max="11019" width="14.625" style="1" customWidth="1"/>
    <col min="11020" max="11020" width="0" style="1" hidden="1" customWidth="1"/>
    <col min="11021" max="11021" width="7.875" style="1" customWidth="1"/>
    <col min="11022" max="11022" width="17.375" style="1" customWidth="1"/>
    <col min="11023" max="11023" width="14.625" style="1" customWidth="1"/>
    <col min="11024" max="11024" width="8.5" style="1" customWidth="1"/>
    <col min="11025" max="11025" width="11" style="1"/>
    <col min="11026" max="11026" width="10.125" style="1" bestFit="1" customWidth="1"/>
    <col min="11027" max="11265" width="11" style="1"/>
    <col min="11266" max="11266" width="16" style="1" customWidth="1"/>
    <col min="11267" max="11267" width="49.625" style="1" customWidth="1"/>
    <col min="11268" max="11268" width="15.25" style="1" customWidth="1"/>
    <col min="11269" max="11275" width="14.625" style="1" customWidth="1"/>
    <col min="11276" max="11276" width="0" style="1" hidden="1" customWidth="1"/>
    <col min="11277" max="11277" width="7.875" style="1" customWidth="1"/>
    <col min="11278" max="11278" width="17.375" style="1" customWidth="1"/>
    <col min="11279" max="11279" width="14.625" style="1" customWidth="1"/>
    <col min="11280" max="11280" width="8.5" style="1" customWidth="1"/>
    <col min="11281" max="11281" width="11" style="1"/>
    <col min="11282" max="11282" width="10.125" style="1" bestFit="1" customWidth="1"/>
    <col min="11283" max="11521" width="11" style="1"/>
    <col min="11522" max="11522" width="16" style="1" customWidth="1"/>
    <col min="11523" max="11523" width="49.625" style="1" customWidth="1"/>
    <col min="11524" max="11524" width="15.25" style="1" customWidth="1"/>
    <col min="11525" max="11531" width="14.625" style="1" customWidth="1"/>
    <col min="11532" max="11532" width="0" style="1" hidden="1" customWidth="1"/>
    <col min="11533" max="11533" width="7.875" style="1" customWidth="1"/>
    <col min="11534" max="11534" width="17.375" style="1" customWidth="1"/>
    <col min="11535" max="11535" width="14.625" style="1" customWidth="1"/>
    <col min="11536" max="11536" width="8.5" style="1" customWidth="1"/>
    <col min="11537" max="11537" width="11" style="1"/>
    <col min="11538" max="11538" width="10.125" style="1" bestFit="1" customWidth="1"/>
    <col min="11539" max="11777" width="11" style="1"/>
    <col min="11778" max="11778" width="16" style="1" customWidth="1"/>
    <col min="11779" max="11779" width="49.625" style="1" customWidth="1"/>
    <col min="11780" max="11780" width="15.25" style="1" customWidth="1"/>
    <col min="11781" max="11787" width="14.625" style="1" customWidth="1"/>
    <col min="11788" max="11788" width="0" style="1" hidden="1" customWidth="1"/>
    <col min="11789" max="11789" width="7.875" style="1" customWidth="1"/>
    <col min="11790" max="11790" width="17.375" style="1" customWidth="1"/>
    <col min="11791" max="11791" width="14.625" style="1" customWidth="1"/>
    <col min="11792" max="11792" width="8.5" style="1" customWidth="1"/>
    <col min="11793" max="11793" width="11" style="1"/>
    <col min="11794" max="11794" width="10.125" style="1" bestFit="1" customWidth="1"/>
    <col min="11795" max="12033" width="11" style="1"/>
    <col min="12034" max="12034" width="16" style="1" customWidth="1"/>
    <col min="12035" max="12035" width="49.625" style="1" customWidth="1"/>
    <col min="12036" max="12036" width="15.25" style="1" customWidth="1"/>
    <col min="12037" max="12043" width="14.625" style="1" customWidth="1"/>
    <col min="12044" max="12044" width="0" style="1" hidden="1" customWidth="1"/>
    <col min="12045" max="12045" width="7.875" style="1" customWidth="1"/>
    <col min="12046" max="12046" width="17.375" style="1" customWidth="1"/>
    <col min="12047" max="12047" width="14.625" style="1" customWidth="1"/>
    <col min="12048" max="12048" width="8.5" style="1" customWidth="1"/>
    <col min="12049" max="12049" width="11" style="1"/>
    <col min="12050" max="12050" width="10.125" style="1" bestFit="1" customWidth="1"/>
    <col min="12051" max="12289" width="11" style="1"/>
    <col min="12290" max="12290" width="16" style="1" customWidth="1"/>
    <col min="12291" max="12291" width="49.625" style="1" customWidth="1"/>
    <col min="12292" max="12292" width="15.25" style="1" customWidth="1"/>
    <col min="12293" max="12299" width="14.625" style="1" customWidth="1"/>
    <col min="12300" max="12300" width="0" style="1" hidden="1" customWidth="1"/>
    <col min="12301" max="12301" width="7.875" style="1" customWidth="1"/>
    <col min="12302" max="12302" width="17.375" style="1" customWidth="1"/>
    <col min="12303" max="12303" width="14.625" style="1" customWidth="1"/>
    <col min="12304" max="12304" width="8.5" style="1" customWidth="1"/>
    <col min="12305" max="12305" width="11" style="1"/>
    <col min="12306" max="12306" width="10.125" style="1" bestFit="1" customWidth="1"/>
    <col min="12307" max="12545" width="11" style="1"/>
    <col min="12546" max="12546" width="16" style="1" customWidth="1"/>
    <col min="12547" max="12547" width="49.625" style="1" customWidth="1"/>
    <col min="12548" max="12548" width="15.25" style="1" customWidth="1"/>
    <col min="12549" max="12555" width="14.625" style="1" customWidth="1"/>
    <col min="12556" max="12556" width="0" style="1" hidden="1" customWidth="1"/>
    <col min="12557" max="12557" width="7.875" style="1" customWidth="1"/>
    <col min="12558" max="12558" width="17.375" style="1" customWidth="1"/>
    <col min="12559" max="12559" width="14.625" style="1" customWidth="1"/>
    <col min="12560" max="12560" width="8.5" style="1" customWidth="1"/>
    <col min="12561" max="12561" width="11" style="1"/>
    <col min="12562" max="12562" width="10.125" style="1" bestFit="1" customWidth="1"/>
    <col min="12563" max="12801" width="11" style="1"/>
    <col min="12802" max="12802" width="16" style="1" customWidth="1"/>
    <col min="12803" max="12803" width="49.625" style="1" customWidth="1"/>
    <col min="12804" max="12804" width="15.25" style="1" customWidth="1"/>
    <col min="12805" max="12811" width="14.625" style="1" customWidth="1"/>
    <col min="12812" max="12812" width="0" style="1" hidden="1" customWidth="1"/>
    <col min="12813" max="12813" width="7.875" style="1" customWidth="1"/>
    <col min="12814" max="12814" width="17.375" style="1" customWidth="1"/>
    <col min="12815" max="12815" width="14.625" style="1" customWidth="1"/>
    <col min="12816" max="12816" width="8.5" style="1" customWidth="1"/>
    <col min="12817" max="12817" width="11" style="1"/>
    <col min="12818" max="12818" width="10.125" style="1" bestFit="1" customWidth="1"/>
    <col min="12819" max="13057" width="11" style="1"/>
    <col min="13058" max="13058" width="16" style="1" customWidth="1"/>
    <col min="13059" max="13059" width="49.625" style="1" customWidth="1"/>
    <col min="13060" max="13060" width="15.25" style="1" customWidth="1"/>
    <col min="13061" max="13067" width="14.625" style="1" customWidth="1"/>
    <col min="13068" max="13068" width="0" style="1" hidden="1" customWidth="1"/>
    <col min="13069" max="13069" width="7.875" style="1" customWidth="1"/>
    <col min="13070" max="13070" width="17.375" style="1" customWidth="1"/>
    <col min="13071" max="13071" width="14.625" style="1" customWidth="1"/>
    <col min="13072" max="13072" width="8.5" style="1" customWidth="1"/>
    <col min="13073" max="13073" width="11" style="1"/>
    <col min="13074" max="13074" width="10.125" style="1" bestFit="1" customWidth="1"/>
    <col min="13075" max="13313" width="11" style="1"/>
    <col min="13314" max="13314" width="16" style="1" customWidth="1"/>
    <col min="13315" max="13315" width="49.625" style="1" customWidth="1"/>
    <col min="13316" max="13316" width="15.25" style="1" customWidth="1"/>
    <col min="13317" max="13323" width="14.625" style="1" customWidth="1"/>
    <col min="13324" max="13324" width="0" style="1" hidden="1" customWidth="1"/>
    <col min="13325" max="13325" width="7.875" style="1" customWidth="1"/>
    <col min="13326" max="13326" width="17.375" style="1" customWidth="1"/>
    <col min="13327" max="13327" width="14.625" style="1" customWidth="1"/>
    <col min="13328" max="13328" width="8.5" style="1" customWidth="1"/>
    <col min="13329" max="13329" width="11" style="1"/>
    <col min="13330" max="13330" width="10.125" style="1" bestFit="1" customWidth="1"/>
    <col min="13331" max="13569" width="11" style="1"/>
    <col min="13570" max="13570" width="16" style="1" customWidth="1"/>
    <col min="13571" max="13571" width="49.625" style="1" customWidth="1"/>
    <col min="13572" max="13572" width="15.25" style="1" customWidth="1"/>
    <col min="13573" max="13579" width="14.625" style="1" customWidth="1"/>
    <col min="13580" max="13580" width="0" style="1" hidden="1" customWidth="1"/>
    <col min="13581" max="13581" width="7.875" style="1" customWidth="1"/>
    <col min="13582" max="13582" width="17.375" style="1" customWidth="1"/>
    <col min="13583" max="13583" width="14.625" style="1" customWidth="1"/>
    <col min="13584" max="13584" width="8.5" style="1" customWidth="1"/>
    <col min="13585" max="13585" width="11" style="1"/>
    <col min="13586" max="13586" width="10.125" style="1" bestFit="1" customWidth="1"/>
    <col min="13587" max="13825" width="11" style="1"/>
    <col min="13826" max="13826" width="16" style="1" customWidth="1"/>
    <col min="13827" max="13827" width="49.625" style="1" customWidth="1"/>
    <col min="13828" max="13828" width="15.25" style="1" customWidth="1"/>
    <col min="13829" max="13835" width="14.625" style="1" customWidth="1"/>
    <col min="13836" max="13836" width="0" style="1" hidden="1" customWidth="1"/>
    <col min="13837" max="13837" width="7.875" style="1" customWidth="1"/>
    <col min="13838" max="13838" width="17.375" style="1" customWidth="1"/>
    <col min="13839" max="13839" width="14.625" style="1" customWidth="1"/>
    <col min="13840" max="13840" width="8.5" style="1" customWidth="1"/>
    <col min="13841" max="13841" width="11" style="1"/>
    <col min="13842" max="13842" width="10.125" style="1" bestFit="1" customWidth="1"/>
    <col min="13843" max="14081" width="11" style="1"/>
    <col min="14082" max="14082" width="16" style="1" customWidth="1"/>
    <col min="14083" max="14083" width="49.625" style="1" customWidth="1"/>
    <col min="14084" max="14084" width="15.25" style="1" customWidth="1"/>
    <col min="14085" max="14091" width="14.625" style="1" customWidth="1"/>
    <col min="14092" max="14092" width="0" style="1" hidden="1" customWidth="1"/>
    <col min="14093" max="14093" width="7.875" style="1" customWidth="1"/>
    <col min="14094" max="14094" width="17.375" style="1" customWidth="1"/>
    <col min="14095" max="14095" width="14.625" style="1" customWidth="1"/>
    <col min="14096" max="14096" width="8.5" style="1" customWidth="1"/>
    <col min="14097" max="14097" width="11" style="1"/>
    <col min="14098" max="14098" width="10.125" style="1" bestFit="1" customWidth="1"/>
    <col min="14099" max="14337" width="11" style="1"/>
    <col min="14338" max="14338" width="16" style="1" customWidth="1"/>
    <col min="14339" max="14339" width="49.625" style="1" customWidth="1"/>
    <col min="14340" max="14340" width="15.25" style="1" customWidth="1"/>
    <col min="14341" max="14347" width="14.625" style="1" customWidth="1"/>
    <col min="14348" max="14348" width="0" style="1" hidden="1" customWidth="1"/>
    <col min="14349" max="14349" width="7.875" style="1" customWidth="1"/>
    <col min="14350" max="14350" width="17.375" style="1" customWidth="1"/>
    <col min="14351" max="14351" width="14.625" style="1" customWidth="1"/>
    <col min="14352" max="14352" width="8.5" style="1" customWidth="1"/>
    <col min="14353" max="14353" width="11" style="1"/>
    <col min="14354" max="14354" width="10.125" style="1" bestFit="1" customWidth="1"/>
    <col min="14355" max="14593" width="11" style="1"/>
    <col min="14594" max="14594" width="16" style="1" customWidth="1"/>
    <col min="14595" max="14595" width="49.625" style="1" customWidth="1"/>
    <col min="14596" max="14596" width="15.25" style="1" customWidth="1"/>
    <col min="14597" max="14603" width="14.625" style="1" customWidth="1"/>
    <col min="14604" max="14604" width="0" style="1" hidden="1" customWidth="1"/>
    <col min="14605" max="14605" width="7.875" style="1" customWidth="1"/>
    <col min="14606" max="14606" width="17.375" style="1" customWidth="1"/>
    <col min="14607" max="14607" width="14.625" style="1" customWidth="1"/>
    <col min="14608" max="14608" width="8.5" style="1" customWidth="1"/>
    <col min="14609" max="14609" width="11" style="1"/>
    <col min="14610" max="14610" width="10.125" style="1" bestFit="1" customWidth="1"/>
    <col min="14611" max="14849" width="11" style="1"/>
    <col min="14850" max="14850" width="16" style="1" customWidth="1"/>
    <col min="14851" max="14851" width="49.625" style="1" customWidth="1"/>
    <col min="14852" max="14852" width="15.25" style="1" customWidth="1"/>
    <col min="14853" max="14859" width="14.625" style="1" customWidth="1"/>
    <col min="14860" max="14860" width="0" style="1" hidden="1" customWidth="1"/>
    <col min="14861" max="14861" width="7.875" style="1" customWidth="1"/>
    <col min="14862" max="14862" width="17.375" style="1" customWidth="1"/>
    <col min="14863" max="14863" width="14.625" style="1" customWidth="1"/>
    <col min="14864" max="14864" width="8.5" style="1" customWidth="1"/>
    <col min="14865" max="14865" width="11" style="1"/>
    <col min="14866" max="14866" width="10.125" style="1" bestFit="1" customWidth="1"/>
    <col min="14867" max="15105" width="11" style="1"/>
    <col min="15106" max="15106" width="16" style="1" customWidth="1"/>
    <col min="15107" max="15107" width="49.625" style="1" customWidth="1"/>
    <col min="15108" max="15108" width="15.25" style="1" customWidth="1"/>
    <col min="15109" max="15115" width="14.625" style="1" customWidth="1"/>
    <col min="15116" max="15116" width="0" style="1" hidden="1" customWidth="1"/>
    <col min="15117" max="15117" width="7.875" style="1" customWidth="1"/>
    <col min="15118" max="15118" width="17.375" style="1" customWidth="1"/>
    <col min="15119" max="15119" width="14.625" style="1" customWidth="1"/>
    <col min="15120" max="15120" width="8.5" style="1" customWidth="1"/>
    <col min="15121" max="15121" width="11" style="1"/>
    <col min="15122" max="15122" width="10.125" style="1" bestFit="1" customWidth="1"/>
    <col min="15123" max="15361" width="11" style="1"/>
    <col min="15362" max="15362" width="16" style="1" customWidth="1"/>
    <col min="15363" max="15363" width="49.625" style="1" customWidth="1"/>
    <col min="15364" max="15364" width="15.25" style="1" customWidth="1"/>
    <col min="15365" max="15371" width="14.625" style="1" customWidth="1"/>
    <col min="15372" max="15372" width="0" style="1" hidden="1" customWidth="1"/>
    <col min="15373" max="15373" width="7.875" style="1" customWidth="1"/>
    <col min="15374" max="15374" width="17.375" style="1" customWidth="1"/>
    <col min="15375" max="15375" width="14.625" style="1" customWidth="1"/>
    <col min="15376" max="15376" width="8.5" style="1" customWidth="1"/>
    <col min="15377" max="15377" width="11" style="1"/>
    <col min="15378" max="15378" width="10.125" style="1" bestFit="1" customWidth="1"/>
    <col min="15379" max="15617" width="11" style="1"/>
    <col min="15618" max="15618" width="16" style="1" customWidth="1"/>
    <col min="15619" max="15619" width="49.625" style="1" customWidth="1"/>
    <col min="15620" max="15620" width="15.25" style="1" customWidth="1"/>
    <col min="15621" max="15627" width="14.625" style="1" customWidth="1"/>
    <col min="15628" max="15628" width="0" style="1" hidden="1" customWidth="1"/>
    <col min="15629" max="15629" width="7.875" style="1" customWidth="1"/>
    <col min="15630" max="15630" width="17.375" style="1" customWidth="1"/>
    <col min="15631" max="15631" width="14.625" style="1" customWidth="1"/>
    <col min="15632" max="15632" width="8.5" style="1" customWidth="1"/>
    <col min="15633" max="15633" width="11" style="1"/>
    <col min="15634" max="15634" width="10.125" style="1" bestFit="1" customWidth="1"/>
    <col min="15635" max="15873" width="11" style="1"/>
    <col min="15874" max="15874" width="16" style="1" customWidth="1"/>
    <col min="15875" max="15875" width="49.625" style="1" customWidth="1"/>
    <col min="15876" max="15876" width="15.25" style="1" customWidth="1"/>
    <col min="15877" max="15883" width="14.625" style="1" customWidth="1"/>
    <col min="15884" max="15884" width="0" style="1" hidden="1" customWidth="1"/>
    <col min="15885" max="15885" width="7.875" style="1" customWidth="1"/>
    <col min="15886" max="15886" width="17.375" style="1" customWidth="1"/>
    <col min="15887" max="15887" width="14.625" style="1" customWidth="1"/>
    <col min="15888" max="15888" width="8.5" style="1" customWidth="1"/>
    <col min="15889" max="15889" width="11" style="1"/>
    <col min="15890" max="15890" width="10.125" style="1" bestFit="1" customWidth="1"/>
    <col min="15891" max="16129" width="11" style="1"/>
    <col min="16130" max="16130" width="16" style="1" customWidth="1"/>
    <col min="16131" max="16131" width="49.625" style="1" customWidth="1"/>
    <col min="16132" max="16132" width="15.25" style="1" customWidth="1"/>
    <col min="16133" max="16139" width="14.625" style="1" customWidth="1"/>
    <col min="16140" max="16140" width="0" style="1" hidden="1" customWidth="1"/>
    <col min="16141" max="16141" width="7.875" style="1" customWidth="1"/>
    <col min="16142" max="16142" width="17.375" style="1" customWidth="1"/>
    <col min="16143" max="16143" width="14.625" style="1" customWidth="1"/>
    <col min="16144" max="16144" width="8.5" style="1" customWidth="1"/>
    <col min="16145" max="16145" width="11" style="1"/>
    <col min="16146" max="16146" width="10.125" style="1" bestFit="1" customWidth="1"/>
    <col min="16147" max="16384" width="11" style="1"/>
  </cols>
  <sheetData>
    <row r="1" spans="1:16" ht="18" x14ac:dyDescent="0.2">
      <c r="A1" s="195" t="s">
        <v>0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</row>
    <row r="2" spans="1:16" ht="18" x14ac:dyDescent="0.25">
      <c r="A2" s="196" t="s">
        <v>1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</row>
    <row r="3" spans="1:16" ht="18" x14ac:dyDescent="0.25">
      <c r="A3" s="196" t="s">
        <v>135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</row>
    <row r="4" spans="1:16" ht="18.75" thickBot="1" x14ac:dyDescent="0.3">
      <c r="A4" s="2"/>
      <c r="B4" s="4"/>
      <c r="C4" s="4"/>
      <c r="D4" s="4"/>
      <c r="E4" s="4"/>
      <c r="F4" s="6"/>
      <c r="G4" s="6"/>
      <c r="H4" s="4"/>
      <c r="I4" s="4"/>
      <c r="J4" s="4"/>
      <c r="K4" s="4"/>
      <c r="L4" s="4"/>
      <c r="M4" s="4"/>
      <c r="N4" s="5"/>
      <c r="O4" s="4"/>
      <c r="P4" s="3"/>
    </row>
    <row r="5" spans="1:16" ht="23.25" customHeight="1" x14ac:dyDescent="0.25">
      <c r="A5" s="47" t="s">
        <v>3</v>
      </c>
      <c r="B5" s="48" t="s">
        <v>4</v>
      </c>
      <c r="C5" s="49" t="s">
        <v>5</v>
      </c>
      <c r="D5" s="197" t="s">
        <v>131</v>
      </c>
      <c r="E5" s="184"/>
      <c r="F5" s="51" t="s">
        <v>7</v>
      </c>
      <c r="G5" s="51" t="s">
        <v>8</v>
      </c>
      <c r="H5" s="49" t="s">
        <v>9</v>
      </c>
      <c r="I5" s="186" t="s">
        <v>10</v>
      </c>
      <c r="J5" s="51" t="s">
        <v>12</v>
      </c>
      <c r="K5" s="49" t="s">
        <v>12</v>
      </c>
      <c r="L5" s="49" t="s">
        <v>13</v>
      </c>
      <c r="M5" s="199" t="s">
        <v>14</v>
      </c>
      <c r="N5" s="52" t="s">
        <v>10</v>
      </c>
      <c r="O5" s="49" t="s">
        <v>15</v>
      </c>
      <c r="P5" s="53" t="s">
        <v>14</v>
      </c>
    </row>
    <row r="6" spans="1:16" ht="23.25" customHeight="1" thickBot="1" x14ac:dyDescent="0.3">
      <c r="A6" s="54"/>
      <c r="B6" s="55"/>
      <c r="C6" s="56" t="s">
        <v>16</v>
      </c>
      <c r="D6" s="198"/>
      <c r="E6" s="185" t="s">
        <v>133</v>
      </c>
      <c r="F6" s="58"/>
      <c r="G6" s="58"/>
      <c r="H6" s="56" t="s">
        <v>8</v>
      </c>
      <c r="I6" s="187" t="s">
        <v>5</v>
      </c>
      <c r="J6" s="59" t="s">
        <v>17</v>
      </c>
      <c r="K6" s="56" t="s">
        <v>18</v>
      </c>
      <c r="L6" s="56" t="s">
        <v>19</v>
      </c>
      <c r="M6" s="200"/>
      <c r="N6" s="60" t="s">
        <v>19</v>
      </c>
      <c r="O6" s="56" t="s">
        <v>20</v>
      </c>
      <c r="P6" s="61"/>
    </row>
    <row r="7" spans="1:16" ht="15" x14ac:dyDescent="0.25">
      <c r="A7" s="7"/>
      <c r="B7" s="8"/>
      <c r="C7" s="9"/>
      <c r="D7" s="9"/>
      <c r="E7" s="9"/>
      <c r="F7" s="10"/>
      <c r="G7" s="10"/>
      <c r="H7" s="9"/>
      <c r="I7" s="9"/>
      <c r="J7" s="11"/>
      <c r="K7" s="9"/>
      <c r="L7" s="9"/>
      <c r="M7" s="9"/>
      <c r="N7" s="12"/>
      <c r="O7" s="13"/>
      <c r="P7" s="14"/>
    </row>
    <row r="8" spans="1:16" s="77" customFormat="1" ht="27.75" customHeight="1" x14ac:dyDescent="0.2">
      <c r="A8" s="65" t="s">
        <v>21</v>
      </c>
      <c r="B8" s="76" t="s">
        <v>22</v>
      </c>
      <c r="C8" s="68">
        <f t="shared" ref="C8:I8" si="0">SUM(C9:C18)</f>
        <v>647432879</v>
      </c>
      <c r="D8" s="68">
        <f t="shared" si="0"/>
        <v>0</v>
      </c>
      <c r="E8" s="68"/>
      <c r="F8" s="68">
        <f t="shared" si="0"/>
        <v>1272904</v>
      </c>
      <c r="G8" s="68">
        <f t="shared" si="0"/>
        <v>8256047</v>
      </c>
      <c r="H8" s="68">
        <f t="shared" si="0"/>
        <v>52560707</v>
      </c>
      <c r="I8" s="68">
        <f t="shared" si="0"/>
        <v>604401123</v>
      </c>
      <c r="J8" s="68">
        <f>J9+J10+J11+J12+J13+J14+J16+J17+J18</f>
        <v>501445789.97776085</v>
      </c>
      <c r="K8" s="68">
        <f>SUM(K9:K18)</f>
        <v>102663826</v>
      </c>
      <c r="L8" s="68">
        <f>SUM(L9:L18)</f>
        <v>604401122.97776091</v>
      </c>
      <c r="M8" s="69">
        <f t="shared" ref="M8:M71" si="1">L8/I8</f>
        <v>0.99999999996320477</v>
      </c>
      <c r="N8" s="70">
        <f>J8+K8</f>
        <v>604109615.97776079</v>
      </c>
      <c r="O8" s="68">
        <f>ROUND(SUM(O9:O18),0)</f>
        <v>0</v>
      </c>
      <c r="P8" s="71">
        <f t="shared" ref="P8:P39" si="2">O8/I8</f>
        <v>0</v>
      </c>
    </row>
    <row r="9" spans="1:16" ht="15" x14ac:dyDescent="0.25">
      <c r="A9" s="19" t="s">
        <v>23</v>
      </c>
      <c r="B9" s="20" t="s">
        <v>24</v>
      </c>
      <c r="C9" s="21">
        <v>491332879</v>
      </c>
      <c r="D9" s="22"/>
      <c r="E9" s="22"/>
      <c r="F9" s="23"/>
      <c r="G9" s="36"/>
      <c r="H9" s="62">
        <f>18900000+5000000+120807</f>
        <v>24020807</v>
      </c>
      <c r="I9" s="21">
        <f>C9-D9+F9+G9-H9</f>
        <v>467312072</v>
      </c>
      <c r="J9" s="22">
        <f>NOVIEMBRE!J9+NOVIEMBRE!K9</f>
        <v>432689117</v>
      </c>
      <c r="K9" s="43">
        <v>34622955</v>
      </c>
      <c r="L9" s="21">
        <f>SUM(J9:K9)</f>
        <v>467312072</v>
      </c>
      <c r="M9" s="16">
        <f t="shared" si="1"/>
        <v>1</v>
      </c>
      <c r="N9" s="25">
        <f t="shared" ref="N9:N70" si="3">K9+J9</f>
        <v>467312072</v>
      </c>
      <c r="O9" s="26">
        <f t="shared" ref="O9:O18" si="4">I9-L9</f>
        <v>0</v>
      </c>
      <c r="P9" s="18">
        <f t="shared" si="2"/>
        <v>0</v>
      </c>
    </row>
    <row r="10" spans="1:16" ht="15" x14ac:dyDescent="0.25">
      <c r="A10" s="19" t="s">
        <v>25</v>
      </c>
      <c r="B10" s="20" t="s">
        <v>26</v>
      </c>
      <c r="C10" s="21">
        <v>0</v>
      </c>
      <c r="D10" s="22"/>
      <c r="E10" s="22"/>
      <c r="F10" s="23"/>
      <c r="G10" s="36"/>
      <c r="H10" s="63"/>
      <c r="I10" s="21">
        <f t="shared" ref="I10:I23" si="5">C10-D10+F10+G10-H10</f>
        <v>0</v>
      </c>
      <c r="J10" s="22">
        <f>NOVIEMBRE!J10+NOVIEMBRE!K10</f>
        <v>0</v>
      </c>
      <c r="K10" s="22">
        <v>0</v>
      </c>
      <c r="L10" s="21">
        <f t="shared" ref="L10:L23" si="6">SUM(J10:K10)</f>
        <v>0</v>
      </c>
      <c r="M10" s="16">
        <v>0</v>
      </c>
      <c r="N10" s="25">
        <f t="shared" si="3"/>
        <v>0</v>
      </c>
      <c r="O10" s="26">
        <f t="shared" si="4"/>
        <v>0</v>
      </c>
      <c r="P10" s="18">
        <v>0</v>
      </c>
    </row>
    <row r="11" spans="1:16" ht="15" x14ac:dyDescent="0.25">
      <c r="A11" s="19" t="s">
        <v>27</v>
      </c>
      <c r="B11" s="20" t="s">
        <v>28</v>
      </c>
      <c r="C11" s="21">
        <v>2300000</v>
      </c>
      <c r="D11" s="22"/>
      <c r="E11" s="22"/>
      <c r="F11" s="23"/>
      <c r="G11" s="36"/>
      <c r="H11" s="63">
        <f>1200000+138347</f>
        <v>1338347</v>
      </c>
      <c r="I11" s="21">
        <f t="shared" si="5"/>
        <v>961653</v>
      </c>
      <c r="J11" s="22">
        <f>NOVIEMBRE!J11+NOVIEMBRE!K11</f>
        <v>914540</v>
      </c>
      <c r="K11" s="22">
        <v>47113</v>
      </c>
      <c r="L11" s="21">
        <f t="shared" si="6"/>
        <v>961653</v>
      </c>
      <c r="M11" s="16">
        <f t="shared" si="1"/>
        <v>1</v>
      </c>
      <c r="N11" s="25">
        <f t="shared" si="3"/>
        <v>961653</v>
      </c>
      <c r="O11" s="26">
        <f t="shared" si="4"/>
        <v>0</v>
      </c>
      <c r="P11" s="18">
        <f t="shared" si="2"/>
        <v>0</v>
      </c>
    </row>
    <row r="12" spans="1:16" ht="15.75" customHeight="1" x14ac:dyDescent="0.25">
      <c r="A12" s="19" t="s">
        <v>29</v>
      </c>
      <c r="B12" s="20" t="s">
        <v>30</v>
      </c>
      <c r="C12" s="21">
        <v>1800000</v>
      </c>
      <c r="D12" s="22"/>
      <c r="E12" s="22"/>
      <c r="F12" s="23"/>
      <c r="G12" s="36"/>
      <c r="H12" s="63">
        <f>400000+67867</f>
        <v>467867</v>
      </c>
      <c r="I12" s="21">
        <f t="shared" si="5"/>
        <v>1332133</v>
      </c>
      <c r="J12" s="22">
        <f>NOVIEMBRE!J12+NOVIEMBRE!K12</f>
        <v>1259610</v>
      </c>
      <c r="K12" s="22">
        <v>72523</v>
      </c>
      <c r="L12" s="21">
        <f t="shared" si="6"/>
        <v>1332133</v>
      </c>
      <c r="M12" s="16">
        <f t="shared" si="1"/>
        <v>1</v>
      </c>
      <c r="N12" s="25">
        <f t="shared" si="3"/>
        <v>1332133</v>
      </c>
      <c r="O12" s="26">
        <f t="shared" si="4"/>
        <v>0</v>
      </c>
      <c r="P12" s="18">
        <f t="shared" si="2"/>
        <v>0</v>
      </c>
    </row>
    <row r="13" spans="1:16" ht="15" x14ac:dyDescent="0.25">
      <c r="A13" s="19" t="s">
        <v>31</v>
      </c>
      <c r="B13" s="20" t="s">
        <v>32</v>
      </c>
      <c r="C13" s="21">
        <v>15000000</v>
      </c>
      <c r="D13" s="22"/>
      <c r="E13" s="22"/>
      <c r="F13" s="23"/>
      <c r="G13" s="36">
        <v>1395140</v>
      </c>
      <c r="H13" s="63"/>
      <c r="I13" s="21">
        <f t="shared" si="5"/>
        <v>16395140</v>
      </c>
      <c r="J13" s="22">
        <f>NOVIEMBRE!J13+NOVIEMBRE!K13</f>
        <v>16395140</v>
      </c>
      <c r="K13" s="43">
        <v>0</v>
      </c>
      <c r="L13" s="21">
        <f t="shared" si="6"/>
        <v>16395140</v>
      </c>
      <c r="M13" s="16">
        <f t="shared" si="1"/>
        <v>1</v>
      </c>
      <c r="N13" s="25">
        <f t="shared" si="3"/>
        <v>16395140</v>
      </c>
      <c r="O13" s="26">
        <f t="shared" si="4"/>
        <v>0</v>
      </c>
      <c r="P13" s="18">
        <f t="shared" si="2"/>
        <v>0</v>
      </c>
    </row>
    <row r="14" spans="1:16" ht="15" x14ac:dyDescent="0.25">
      <c r="A14" s="19" t="s">
        <v>33</v>
      </c>
      <c r="B14" s="20" t="s">
        <v>34</v>
      </c>
      <c r="C14" s="21">
        <v>22000000</v>
      </c>
      <c r="D14" s="22"/>
      <c r="E14" s="22"/>
      <c r="F14" s="23"/>
      <c r="G14" s="36"/>
      <c r="H14" s="63"/>
      <c r="I14" s="21">
        <f t="shared" si="5"/>
        <v>22000000</v>
      </c>
      <c r="J14" s="22">
        <f>NOVIEMBRE!J14+NOVIEMBRE!K14</f>
        <v>22000000</v>
      </c>
      <c r="K14" s="44">
        <v>0</v>
      </c>
      <c r="L14" s="21">
        <f t="shared" si="6"/>
        <v>22000000</v>
      </c>
      <c r="M14" s="16">
        <f t="shared" si="1"/>
        <v>1</v>
      </c>
      <c r="N14" s="25">
        <f t="shared" si="3"/>
        <v>22000000</v>
      </c>
      <c r="O14" s="26">
        <f t="shared" si="4"/>
        <v>0</v>
      </c>
      <c r="P14" s="18">
        <f t="shared" si="2"/>
        <v>0</v>
      </c>
    </row>
    <row r="15" spans="1:16" ht="15" x14ac:dyDescent="0.25">
      <c r="A15" s="19">
        <v>45</v>
      </c>
      <c r="B15" s="20" t="s">
        <v>34</v>
      </c>
      <c r="C15" s="21">
        <v>0</v>
      </c>
      <c r="D15" s="22"/>
      <c r="E15" s="22"/>
      <c r="F15" s="23"/>
      <c r="G15" s="36">
        <v>291507</v>
      </c>
      <c r="H15" s="63"/>
      <c r="I15" s="21">
        <f t="shared" si="5"/>
        <v>291507</v>
      </c>
      <c r="J15" s="22">
        <f>NOVIEMBRE!J15+NOVIEMBRE!K15</f>
        <v>291507</v>
      </c>
      <c r="K15" s="44">
        <v>0</v>
      </c>
      <c r="L15" s="21">
        <f t="shared" si="6"/>
        <v>291507</v>
      </c>
      <c r="M15" s="16">
        <f t="shared" si="1"/>
        <v>1</v>
      </c>
      <c r="N15" s="25">
        <f t="shared" si="3"/>
        <v>291507</v>
      </c>
      <c r="O15" s="26">
        <f t="shared" si="4"/>
        <v>0</v>
      </c>
      <c r="P15" s="18">
        <f t="shared" si="2"/>
        <v>0</v>
      </c>
    </row>
    <row r="16" spans="1:16" ht="15" x14ac:dyDescent="0.25">
      <c r="A16" s="19" t="s">
        <v>35</v>
      </c>
      <c r="B16" s="20" t="s">
        <v>36</v>
      </c>
      <c r="C16" s="21">
        <v>33000000</v>
      </c>
      <c r="D16" s="22"/>
      <c r="E16" s="22"/>
      <c r="F16" s="23"/>
      <c r="G16" s="36"/>
      <c r="H16" s="63">
        <f>5000000+8106294+1751147</f>
        <v>14857441</v>
      </c>
      <c r="I16" s="21">
        <f t="shared" si="5"/>
        <v>18142559</v>
      </c>
      <c r="J16" s="22">
        <f>NOVIEMBRE!J16+NOVIEMBRE!K16</f>
        <v>10129524</v>
      </c>
      <c r="K16" s="43">
        <v>8013035</v>
      </c>
      <c r="L16" s="21">
        <f t="shared" si="6"/>
        <v>18142559</v>
      </c>
      <c r="M16" s="16">
        <f t="shared" si="1"/>
        <v>1</v>
      </c>
      <c r="N16" s="25">
        <f t="shared" si="3"/>
        <v>18142559</v>
      </c>
      <c r="O16" s="26">
        <f t="shared" si="4"/>
        <v>0</v>
      </c>
      <c r="P16" s="18">
        <f t="shared" si="2"/>
        <v>0</v>
      </c>
    </row>
    <row r="17" spans="1:16" ht="15" x14ac:dyDescent="0.25">
      <c r="A17" s="28">
        <v>2020110109</v>
      </c>
      <c r="B17" s="20" t="s">
        <v>37</v>
      </c>
      <c r="C17" s="21">
        <v>44000000</v>
      </c>
      <c r="D17" s="22"/>
      <c r="E17" s="22"/>
      <c r="F17" s="23">
        <v>1272904</v>
      </c>
      <c r="G17" s="36"/>
      <c r="H17" s="63">
        <f>8908150+2632306</f>
        <v>11540456</v>
      </c>
      <c r="I17" s="21">
        <f t="shared" si="5"/>
        <v>33732448</v>
      </c>
      <c r="J17" s="22">
        <f>NOVIEMBRE!J17+NOVIEMBRE!K17</f>
        <v>17702932.977760866</v>
      </c>
      <c r="K17" s="43">
        <v>16029515</v>
      </c>
      <c r="L17" s="21">
        <f t="shared" si="6"/>
        <v>33732447.977760866</v>
      </c>
      <c r="M17" s="16">
        <f t="shared" si="1"/>
        <v>0.99999999934071981</v>
      </c>
      <c r="N17" s="25">
        <f t="shared" si="3"/>
        <v>33732447.977760866</v>
      </c>
      <c r="O17" s="26">
        <f t="shared" si="4"/>
        <v>2.2239133715629578E-2</v>
      </c>
      <c r="P17" s="18">
        <f t="shared" si="2"/>
        <v>6.5928016002958268E-10</v>
      </c>
    </row>
    <row r="18" spans="1:16" ht="15" x14ac:dyDescent="0.25">
      <c r="A18" s="28">
        <v>2020110108</v>
      </c>
      <c r="B18" s="20" t="s">
        <v>38</v>
      </c>
      <c r="C18" s="21">
        <v>38000000</v>
      </c>
      <c r="D18" s="22"/>
      <c r="E18" s="22"/>
      <c r="F18" s="23"/>
      <c r="G18" s="36">
        <v>6569400</v>
      </c>
      <c r="H18" s="63">
        <v>335789</v>
      </c>
      <c r="I18" s="21">
        <f t="shared" si="5"/>
        <v>44233611</v>
      </c>
      <c r="J18" s="22">
        <f>NOVIEMBRE!J18+NOVIEMBRE!K18</f>
        <v>354926</v>
      </c>
      <c r="K18" s="43">
        <v>43878685</v>
      </c>
      <c r="L18" s="21">
        <f t="shared" si="6"/>
        <v>44233611</v>
      </c>
      <c r="M18" s="16">
        <f t="shared" si="1"/>
        <v>1</v>
      </c>
      <c r="N18" s="25">
        <f t="shared" si="3"/>
        <v>44233611</v>
      </c>
      <c r="O18" s="26">
        <f t="shared" si="4"/>
        <v>0</v>
      </c>
      <c r="P18" s="18">
        <f t="shared" si="2"/>
        <v>0</v>
      </c>
    </row>
    <row r="19" spans="1:16" s="72" customFormat="1" ht="27.75" customHeight="1" x14ac:dyDescent="0.2">
      <c r="A19" s="65" t="s">
        <v>39</v>
      </c>
      <c r="B19" s="76" t="s">
        <v>40</v>
      </c>
      <c r="C19" s="68">
        <f t="shared" ref="C19:H19" si="7">SUM(C20:C23)</f>
        <v>20000000</v>
      </c>
      <c r="D19" s="68">
        <f t="shared" si="7"/>
        <v>0</v>
      </c>
      <c r="E19" s="68"/>
      <c r="F19" s="68">
        <f t="shared" si="7"/>
        <v>9000000</v>
      </c>
      <c r="G19" s="68">
        <f t="shared" si="7"/>
        <v>28400000</v>
      </c>
      <c r="H19" s="68">
        <f t="shared" si="7"/>
        <v>3000000</v>
      </c>
      <c r="I19" s="68">
        <f>SUM(I20:I23)</f>
        <v>54400000</v>
      </c>
      <c r="J19" s="68">
        <f>SUM(J20:J23)</f>
        <v>48900000</v>
      </c>
      <c r="K19" s="68">
        <f>K20+K22+K23+K21</f>
        <v>5500000</v>
      </c>
      <c r="L19" s="68">
        <f>SUM(L20:L23)</f>
        <v>54400000</v>
      </c>
      <c r="M19" s="69">
        <f t="shared" si="1"/>
        <v>1</v>
      </c>
      <c r="N19" s="75">
        <f t="shared" si="3"/>
        <v>54400000</v>
      </c>
      <c r="O19" s="75">
        <f>SUM(O20:O23)</f>
        <v>0</v>
      </c>
      <c r="P19" s="71">
        <f t="shared" si="2"/>
        <v>0</v>
      </c>
    </row>
    <row r="20" spans="1:16" ht="15" x14ac:dyDescent="0.25">
      <c r="A20" s="19" t="s">
        <v>41</v>
      </c>
      <c r="B20" s="30" t="s">
        <v>42</v>
      </c>
      <c r="C20" s="31">
        <v>20000000</v>
      </c>
      <c r="D20" s="22"/>
      <c r="E20" s="22"/>
      <c r="F20" s="23"/>
      <c r="G20" s="36">
        <v>13000000</v>
      </c>
      <c r="H20" s="63">
        <v>3000000</v>
      </c>
      <c r="I20" s="21">
        <f t="shared" si="5"/>
        <v>30000000</v>
      </c>
      <c r="J20" s="22">
        <f>NOVIEMBRE!J20+NOVIEMBRE!K20</f>
        <v>24500000</v>
      </c>
      <c r="K20" s="22">
        <v>5500000</v>
      </c>
      <c r="L20" s="21">
        <f t="shared" si="6"/>
        <v>30000000</v>
      </c>
      <c r="M20" s="16">
        <f t="shared" si="1"/>
        <v>1</v>
      </c>
      <c r="N20" s="25">
        <f t="shared" si="3"/>
        <v>30000000</v>
      </c>
      <c r="O20" s="26">
        <f>I20-L20</f>
        <v>0</v>
      </c>
      <c r="P20" s="18">
        <f>O20/I20</f>
        <v>0</v>
      </c>
    </row>
    <row r="21" spans="1:16" ht="15" x14ac:dyDescent="0.25">
      <c r="A21" s="19">
        <v>45</v>
      </c>
      <c r="B21" s="30" t="s">
        <v>42</v>
      </c>
      <c r="C21" s="31"/>
      <c r="D21" s="22"/>
      <c r="E21" s="22"/>
      <c r="F21" s="23">
        <v>9000000</v>
      </c>
      <c r="G21" s="36">
        <v>15400000</v>
      </c>
      <c r="H21" s="63"/>
      <c r="I21" s="21">
        <f t="shared" si="5"/>
        <v>24400000</v>
      </c>
      <c r="J21" s="22">
        <f>NOVIEMBRE!J21+NOVIEMBRE!K21</f>
        <v>24400000</v>
      </c>
      <c r="K21" s="22">
        <v>0</v>
      </c>
      <c r="L21" s="21">
        <f t="shared" si="6"/>
        <v>24400000</v>
      </c>
      <c r="M21" s="16">
        <f t="shared" si="1"/>
        <v>1</v>
      </c>
      <c r="N21" s="25">
        <f t="shared" si="3"/>
        <v>24400000</v>
      </c>
      <c r="O21" s="26">
        <f>I21-L21</f>
        <v>0</v>
      </c>
      <c r="P21" s="18">
        <f>O21/I21</f>
        <v>0</v>
      </c>
    </row>
    <row r="22" spans="1:16" ht="15" x14ac:dyDescent="0.25">
      <c r="A22" s="19" t="s">
        <v>43</v>
      </c>
      <c r="B22" s="20" t="s">
        <v>44</v>
      </c>
      <c r="C22" s="32">
        <v>0</v>
      </c>
      <c r="D22" s="22"/>
      <c r="E22" s="22"/>
      <c r="F22" s="23"/>
      <c r="G22" s="36"/>
      <c r="H22" s="63"/>
      <c r="I22" s="21">
        <f t="shared" si="5"/>
        <v>0</v>
      </c>
      <c r="J22" s="22">
        <f>OCTUBRE!I22+OCTUBRE!J22</f>
        <v>0</v>
      </c>
      <c r="K22" s="22">
        <v>0</v>
      </c>
      <c r="L22" s="21">
        <f t="shared" si="6"/>
        <v>0</v>
      </c>
      <c r="M22" s="16">
        <v>0</v>
      </c>
      <c r="N22" s="25">
        <f t="shared" si="3"/>
        <v>0</v>
      </c>
      <c r="O22" s="26">
        <f>I22-L22</f>
        <v>0</v>
      </c>
      <c r="P22" s="18">
        <v>0</v>
      </c>
    </row>
    <row r="23" spans="1:16" ht="15" x14ac:dyDescent="0.25">
      <c r="A23" s="19" t="s">
        <v>45</v>
      </c>
      <c r="B23" s="33" t="s">
        <v>46</v>
      </c>
      <c r="C23" s="31">
        <v>0</v>
      </c>
      <c r="D23" s="22"/>
      <c r="E23" s="22"/>
      <c r="F23" s="23"/>
      <c r="G23" s="36"/>
      <c r="H23" s="63"/>
      <c r="I23" s="21">
        <f t="shared" si="5"/>
        <v>0</v>
      </c>
      <c r="J23" s="22">
        <f>OCTUBRE!I23+OCTUBRE!J23</f>
        <v>0</v>
      </c>
      <c r="K23" s="27">
        <v>0</v>
      </c>
      <c r="L23" s="21">
        <f t="shared" si="6"/>
        <v>0</v>
      </c>
      <c r="M23" s="16">
        <v>0</v>
      </c>
      <c r="N23" s="25">
        <f t="shared" si="3"/>
        <v>0</v>
      </c>
      <c r="O23" s="26">
        <f>I23-L23</f>
        <v>0</v>
      </c>
      <c r="P23" s="18">
        <v>0</v>
      </c>
    </row>
    <row r="24" spans="1:16" s="72" customFormat="1" ht="27.75" customHeight="1" x14ac:dyDescent="0.2">
      <c r="A24" s="65" t="s">
        <v>47</v>
      </c>
      <c r="B24" s="66" t="s">
        <v>48</v>
      </c>
      <c r="C24" s="68">
        <f t="shared" ref="C24:H24" si="8">SUM(C25:C31)</f>
        <v>26200000</v>
      </c>
      <c r="D24" s="68">
        <f t="shared" si="8"/>
        <v>0</v>
      </c>
      <c r="E24" s="68"/>
      <c r="F24" s="68">
        <f t="shared" si="8"/>
        <v>27113790</v>
      </c>
      <c r="G24" s="68">
        <f t="shared" si="8"/>
        <v>5308746</v>
      </c>
      <c r="H24" s="68">
        <f t="shared" si="8"/>
        <v>17722233</v>
      </c>
      <c r="I24" s="68">
        <f>SUM(I25:I31)</f>
        <v>40900303</v>
      </c>
      <c r="J24" s="68">
        <f t="shared" ref="J24:K24" si="9">SUM(J25:J31)</f>
        <v>34573303</v>
      </c>
      <c r="K24" s="68">
        <f t="shared" si="9"/>
        <v>6327000</v>
      </c>
      <c r="L24" s="68">
        <f>SUM(L25:L31)</f>
        <v>40900303</v>
      </c>
      <c r="M24" s="69">
        <f t="shared" si="1"/>
        <v>1</v>
      </c>
      <c r="N24" s="75">
        <f t="shared" si="3"/>
        <v>40900303</v>
      </c>
      <c r="O24" s="68">
        <f t="shared" ref="O24" si="10">SUM(O25:O31)</f>
        <v>0</v>
      </c>
      <c r="P24" s="71">
        <f t="shared" si="2"/>
        <v>0</v>
      </c>
    </row>
    <row r="25" spans="1:16" ht="15" x14ac:dyDescent="0.25">
      <c r="A25" s="19" t="s">
        <v>49</v>
      </c>
      <c r="B25" s="33" t="s">
        <v>50</v>
      </c>
      <c r="C25" s="31">
        <v>0</v>
      </c>
      <c r="D25" s="22"/>
      <c r="E25" s="22"/>
      <c r="F25" s="23">
        <v>2113790</v>
      </c>
      <c r="G25" s="36">
        <f>2000000+382001-9150</f>
        <v>2372851</v>
      </c>
      <c r="H25" s="63">
        <v>700536</v>
      </c>
      <c r="I25" s="21">
        <f t="shared" ref="I25:I31" si="11">C25-D25+F25+G25-H25</f>
        <v>3786105</v>
      </c>
      <c r="J25" s="22">
        <f>OCTUBRE!I25+OCTUBRE!J25</f>
        <v>1585000</v>
      </c>
      <c r="K25" s="27">
        <f>3337000-1126745-9150</f>
        <v>2201105</v>
      </c>
      <c r="L25" s="21">
        <f t="shared" ref="L25:L67" si="12">SUM(J25:K25)</f>
        <v>3786105</v>
      </c>
      <c r="M25" s="16">
        <f t="shared" si="1"/>
        <v>1</v>
      </c>
      <c r="N25" s="17">
        <f t="shared" si="3"/>
        <v>3786105</v>
      </c>
      <c r="O25" s="26">
        <f t="shared" ref="O25:O31" si="13">I25-L25</f>
        <v>0</v>
      </c>
      <c r="P25" s="18">
        <v>0</v>
      </c>
    </row>
    <row r="26" spans="1:16" ht="15" x14ac:dyDescent="0.25">
      <c r="A26" s="19">
        <v>45</v>
      </c>
      <c r="B26" s="33" t="s">
        <v>50</v>
      </c>
      <c r="C26" s="31">
        <v>0</v>
      </c>
      <c r="D26" s="22"/>
      <c r="E26" s="22"/>
      <c r="F26" s="23"/>
      <c r="G26" s="36">
        <f>1000000+1126745+9150</f>
        <v>2135895</v>
      </c>
      <c r="H26" s="63"/>
      <c r="I26" s="21">
        <f t="shared" si="11"/>
        <v>2135895</v>
      </c>
      <c r="J26" s="22">
        <f>OCTUBRE!I26+OCTUBRE!J26</f>
        <v>0</v>
      </c>
      <c r="K26" s="27">
        <f>1000000+1126745+9150</f>
        <v>2135895</v>
      </c>
      <c r="L26" s="21">
        <f t="shared" si="12"/>
        <v>2135895</v>
      </c>
      <c r="M26" s="16">
        <f t="shared" si="1"/>
        <v>1</v>
      </c>
      <c r="N26" s="17">
        <f t="shared" si="3"/>
        <v>2135895</v>
      </c>
      <c r="O26" s="26">
        <f t="shared" si="13"/>
        <v>0</v>
      </c>
      <c r="P26" s="18">
        <v>0</v>
      </c>
    </row>
    <row r="27" spans="1:16" ht="15" x14ac:dyDescent="0.25">
      <c r="A27" s="19" t="s">
        <v>51</v>
      </c>
      <c r="B27" s="34" t="s">
        <v>52</v>
      </c>
      <c r="C27" s="31">
        <v>25000000</v>
      </c>
      <c r="D27" s="22"/>
      <c r="E27" s="22"/>
      <c r="F27" s="23">
        <v>0</v>
      </c>
      <c r="G27" s="36"/>
      <c r="H27" s="63">
        <v>5000000</v>
      </c>
      <c r="I27" s="21">
        <f t="shared" si="11"/>
        <v>20000000</v>
      </c>
      <c r="J27" s="22">
        <f>OCTUBRE!I27+OCTUBRE!J27</f>
        <v>20000000</v>
      </c>
      <c r="K27" s="22"/>
      <c r="L27" s="21">
        <f t="shared" si="12"/>
        <v>20000000</v>
      </c>
      <c r="M27" s="16">
        <f t="shared" si="1"/>
        <v>1</v>
      </c>
      <c r="N27" s="25">
        <f t="shared" si="3"/>
        <v>20000000</v>
      </c>
      <c r="O27" s="26">
        <f t="shared" si="13"/>
        <v>0</v>
      </c>
      <c r="P27" s="35">
        <f t="shared" si="2"/>
        <v>0</v>
      </c>
    </row>
    <row r="28" spans="1:16" ht="15" x14ac:dyDescent="0.25">
      <c r="A28" s="19">
        <v>45</v>
      </c>
      <c r="B28" s="34" t="s">
        <v>52</v>
      </c>
      <c r="C28" s="31"/>
      <c r="D28" s="22"/>
      <c r="E28" s="22"/>
      <c r="F28" s="23">
        <v>25000000</v>
      </c>
      <c r="G28" s="36"/>
      <c r="H28" s="63">
        <f>9280000+1604952+1126745</f>
        <v>12011697</v>
      </c>
      <c r="I28" s="21">
        <f t="shared" si="11"/>
        <v>12988303</v>
      </c>
      <c r="J28" s="22">
        <f>OCTUBRE!I28+OCTUBRE!J28</f>
        <v>12988303</v>
      </c>
      <c r="K28" s="22">
        <v>0</v>
      </c>
      <c r="L28" s="21">
        <f t="shared" si="12"/>
        <v>12988303</v>
      </c>
      <c r="M28" s="16">
        <f t="shared" si="1"/>
        <v>1</v>
      </c>
      <c r="N28" s="25">
        <f t="shared" si="3"/>
        <v>12988303</v>
      </c>
      <c r="O28" s="26">
        <f t="shared" si="13"/>
        <v>0</v>
      </c>
      <c r="P28" s="35">
        <f t="shared" si="2"/>
        <v>0</v>
      </c>
    </row>
    <row r="29" spans="1:16" ht="15" x14ac:dyDescent="0.25">
      <c r="A29" s="19" t="s">
        <v>53</v>
      </c>
      <c r="B29" s="33" t="s">
        <v>54</v>
      </c>
      <c r="C29" s="32">
        <v>1200000</v>
      </c>
      <c r="D29" s="22"/>
      <c r="E29" s="22"/>
      <c r="F29" s="23"/>
      <c r="G29" s="36"/>
      <c r="H29" s="64">
        <v>10000</v>
      </c>
      <c r="I29" s="21">
        <f t="shared" si="11"/>
        <v>1190000</v>
      </c>
      <c r="J29" s="22">
        <f>OCTUBRE!I29+OCTUBRE!J29</f>
        <v>0</v>
      </c>
      <c r="K29" s="22">
        <v>1190000</v>
      </c>
      <c r="L29" s="21">
        <f t="shared" si="12"/>
        <v>1190000</v>
      </c>
      <c r="M29" s="16">
        <f t="shared" si="1"/>
        <v>1</v>
      </c>
      <c r="N29" s="17">
        <f t="shared" si="3"/>
        <v>1190000</v>
      </c>
      <c r="O29" s="26">
        <f t="shared" si="13"/>
        <v>0</v>
      </c>
      <c r="P29" s="35">
        <f>O29/I29</f>
        <v>0</v>
      </c>
    </row>
    <row r="30" spans="1:16" ht="15" x14ac:dyDescent="0.25">
      <c r="A30" s="19">
        <v>45</v>
      </c>
      <c r="B30" s="33" t="s">
        <v>54</v>
      </c>
      <c r="C30" s="32">
        <v>0</v>
      </c>
      <c r="D30" s="22"/>
      <c r="E30" s="22"/>
      <c r="F30" s="23"/>
      <c r="G30" s="36">
        <v>800000</v>
      </c>
      <c r="H30" s="64"/>
      <c r="I30" s="21">
        <f t="shared" si="11"/>
        <v>800000</v>
      </c>
      <c r="J30" s="22">
        <f>OCTUBRE!I30+OCTUBRE!J30</f>
        <v>0</v>
      </c>
      <c r="K30" s="22">
        <v>800000</v>
      </c>
      <c r="L30" s="21">
        <f t="shared" si="12"/>
        <v>800000</v>
      </c>
      <c r="M30" s="16">
        <f t="shared" si="1"/>
        <v>1</v>
      </c>
      <c r="N30" s="17">
        <f t="shared" si="3"/>
        <v>800000</v>
      </c>
      <c r="O30" s="26">
        <f t="shared" si="13"/>
        <v>0</v>
      </c>
      <c r="P30" s="35">
        <f>O30/I30</f>
        <v>0</v>
      </c>
    </row>
    <row r="31" spans="1:16" ht="15" x14ac:dyDescent="0.25">
      <c r="A31" s="19" t="s">
        <v>55</v>
      </c>
      <c r="B31" s="33" t="s">
        <v>56</v>
      </c>
      <c r="C31" s="32">
        <v>0</v>
      </c>
      <c r="D31" s="22"/>
      <c r="E31" s="22"/>
      <c r="F31" s="23"/>
      <c r="G31" s="36"/>
      <c r="H31" s="63"/>
      <c r="I31" s="21">
        <f t="shared" si="11"/>
        <v>0</v>
      </c>
      <c r="J31" s="22">
        <f>OCTUBRE!I31+OCTUBRE!J31</f>
        <v>0</v>
      </c>
      <c r="K31" s="22"/>
      <c r="L31" s="21">
        <f t="shared" si="12"/>
        <v>0</v>
      </c>
      <c r="M31" s="16">
        <v>0</v>
      </c>
      <c r="N31" s="17">
        <f t="shared" si="3"/>
        <v>0</v>
      </c>
      <c r="O31" s="26">
        <f t="shared" si="13"/>
        <v>0</v>
      </c>
      <c r="P31" s="35">
        <v>0</v>
      </c>
    </row>
    <row r="32" spans="1:16" s="72" customFormat="1" ht="27.75" customHeight="1" x14ac:dyDescent="0.2">
      <c r="A32" s="65" t="s">
        <v>57</v>
      </c>
      <c r="B32" s="66" t="s">
        <v>58</v>
      </c>
      <c r="C32" s="68">
        <f t="shared" ref="C32:K32" si="14">SUM(C33:C51)</f>
        <v>119922165</v>
      </c>
      <c r="D32" s="68">
        <f t="shared" si="14"/>
        <v>0</v>
      </c>
      <c r="E32" s="68"/>
      <c r="F32" s="68">
        <f t="shared" si="14"/>
        <v>55689850</v>
      </c>
      <c r="G32" s="68">
        <f t="shared" si="14"/>
        <v>77162047</v>
      </c>
      <c r="H32" s="68">
        <f t="shared" si="14"/>
        <v>33396107</v>
      </c>
      <c r="I32" s="68">
        <f t="shared" si="14"/>
        <v>219377955</v>
      </c>
      <c r="J32" s="68">
        <f t="shared" si="14"/>
        <v>192502364</v>
      </c>
      <c r="K32" s="68">
        <f t="shared" si="14"/>
        <v>26875591</v>
      </c>
      <c r="L32" s="68">
        <f>SUM(L33:L51)</f>
        <v>219377955</v>
      </c>
      <c r="M32" s="69">
        <f t="shared" si="1"/>
        <v>1</v>
      </c>
      <c r="N32" s="70">
        <f>J32+K32</f>
        <v>219377955</v>
      </c>
      <c r="O32" s="75">
        <f>SUM(O33:O51)</f>
        <v>0</v>
      </c>
      <c r="P32" s="71">
        <f t="shared" si="2"/>
        <v>0</v>
      </c>
    </row>
    <row r="33" spans="1:16" ht="15" x14ac:dyDescent="0.25">
      <c r="A33" s="19" t="s">
        <v>59</v>
      </c>
      <c r="B33" s="33" t="s">
        <v>60</v>
      </c>
      <c r="C33" s="31">
        <v>10000000</v>
      </c>
      <c r="D33" s="22"/>
      <c r="E33" s="22"/>
      <c r="F33" s="23">
        <v>0</v>
      </c>
      <c r="G33" s="36">
        <f>2500000+11784370+1123325</f>
        <v>15407695</v>
      </c>
      <c r="H33" s="63"/>
      <c r="I33" s="21">
        <f t="shared" ref="I33:I51" si="15">C33-D33+F33+G33-H33</f>
        <v>25407695</v>
      </c>
      <c r="J33" s="22">
        <f>NOVIEMBRE!J33+NOVIEMBRE!K33</f>
        <v>12500000</v>
      </c>
      <c r="K33" s="22">
        <f>11826450-45500+1126745</f>
        <v>12907695</v>
      </c>
      <c r="L33" s="21">
        <f t="shared" si="12"/>
        <v>25407695</v>
      </c>
      <c r="M33" s="16">
        <f t="shared" si="1"/>
        <v>1</v>
      </c>
      <c r="N33" s="25">
        <f t="shared" si="3"/>
        <v>25407695</v>
      </c>
      <c r="O33" s="26">
        <f t="shared" ref="O33:O47" si="16">I33-L33</f>
        <v>0</v>
      </c>
      <c r="P33" s="35">
        <f t="shared" si="2"/>
        <v>0</v>
      </c>
    </row>
    <row r="34" spans="1:16" ht="15" x14ac:dyDescent="0.25">
      <c r="A34" s="19">
        <v>45</v>
      </c>
      <c r="B34" s="33" t="s">
        <v>60</v>
      </c>
      <c r="C34" s="31"/>
      <c r="D34" s="22"/>
      <c r="E34" s="22"/>
      <c r="F34" s="23">
        <v>15000000</v>
      </c>
      <c r="G34" s="36"/>
      <c r="H34" s="63">
        <f>8000000+420000</f>
        <v>8420000</v>
      </c>
      <c r="I34" s="21">
        <f t="shared" si="15"/>
        <v>6580000</v>
      </c>
      <c r="J34" s="22">
        <f>NOVIEMBRE!J34+NOVIEMBRE!K34</f>
        <v>4066891</v>
      </c>
      <c r="K34" s="22">
        <f>3639854-1126745</f>
        <v>2513109</v>
      </c>
      <c r="L34" s="21">
        <f t="shared" si="12"/>
        <v>6580000</v>
      </c>
      <c r="M34" s="16">
        <f t="shared" si="1"/>
        <v>1</v>
      </c>
      <c r="N34" s="25">
        <f t="shared" si="3"/>
        <v>6580000</v>
      </c>
      <c r="O34" s="26">
        <f t="shared" si="16"/>
        <v>0</v>
      </c>
      <c r="P34" s="35">
        <f t="shared" si="2"/>
        <v>0</v>
      </c>
    </row>
    <row r="35" spans="1:16" ht="15" x14ac:dyDescent="0.25">
      <c r="A35" s="19" t="s">
        <v>61</v>
      </c>
      <c r="B35" s="33" t="s">
        <v>62</v>
      </c>
      <c r="C35" s="31">
        <v>25000000</v>
      </c>
      <c r="D35" s="22"/>
      <c r="E35" s="22"/>
      <c r="F35" s="23">
        <v>0</v>
      </c>
      <c r="G35" s="36">
        <f>30000000+5000000+4000000+17230315</f>
        <v>56230315</v>
      </c>
      <c r="H35" s="63">
        <v>576</v>
      </c>
      <c r="I35" s="21">
        <f t="shared" si="15"/>
        <v>81229739</v>
      </c>
      <c r="J35" s="22">
        <f>NOVIEMBRE!J35+NOVIEMBRE!K35</f>
        <v>73136314</v>
      </c>
      <c r="K35" s="22">
        <v>8093425</v>
      </c>
      <c r="L35" s="21">
        <f t="shared" si="12"/>
        <v>81229739</v>
      </c>
      <c r="M35" s="16">
        <f t="shared" si="1"/>
        <v>1</v>
      </c>
      <c r="N35" s="25">
        <f>K35+J35</f>
        <v>81229739</v>
      </c>
      <c r="O35" s="26">
        <f t="shared" si="16"/>
        <v>0</v>
      </c>
      <c r="P35" s="35">
        <f t="shared" si="2"/>
        <v>0</v>
      </c>
    </row>
    <row r="36" spans="1:16" ht="15" x14ac:dyDescent="0.25">
      <c r="A36" s="19">
        <v>45</v>
      </c>
      <c r="B36" s="33" t="s">
        <v>62</v>
      </c>
      <c r="C36" s="31"/>
      <c r="D36" s="22"/>
      <c r="E36" s="22"/>
      <c r="F36" s="23">
        <v>32431604</v>
      </c>
      <c r="G36" s="36"/>
      <c r="H36" s="63"/>
      <c r="I36" s="21">
        <f t="shared" si="15"/>
        <v>32431604</v>
      </c>
      <c r="J36" s="22">
        <f>NOVIEMBRE!J36+NOVIEMBRE!K36</f>
        <v>32431604</v>
      </c>
      <c r="K36" s="22"/>
      <c r="L36" s="21">
        <f t="shared" si="12"/>
        <v>32431604</v>
      </c>
      <c r="M36" s="16">
        <f t="shared" si="1"/>
        <v>1</v>
      </c>
      <c r="N36" s="25">
        <f>K36+J36</f>
        <v>32431604</v>
      </c>
      <c r="O36" s="26">
        <f t="shared" si="16"/>
        <v>0</v>
      </c>
      <c r="P36" s="35">
        <f t="shared" si="2"/>
        <v>0</v>
      </c>
    </row>
    <row r="37" spans="1:16" ht="15" x14ac:dyDescent="0.25">
      <c r="A37" s="19" t="s">
        <v>63</v>
      </c>
      <c r="B37" s="33" t="s">
        <v>64</v>
      </c>
      <c r="C37" s="31">
        <v>4400000</v>
      </c>
      <c r="D37" s="22"/>
      <c r="E37" s="22"/>
      <c r="F37" s="23"/>
      <c r="G37" s="36"/>
      <c r="H37" s="63">
        <f>2000000+2931</f>
        <v>2002931</v>
      </c>
      <c r="I37" s="21">
        <f t="shared" si="15"/>
        <v>2397069</v>
      </c>
      <c r="J37" s="22">
        <f>NOVIEMBRE!J37+NOVIEMBRE!K37</f>
        <v>2397069</v>
      </c>
      <c r="K37" s="43">
        <v>0</v>
      </c>
      <c r="L37" s="21">
        <f t="shared" si="12"/>
        <v>2397069</v>
      </c>
      <c r="M37" s="16">
        <f t="shared" si="1"/>
        <v>1</v>
      </c>
      <c r="N37" s="25">
        <f t="shared" si="3"/>
        <v>2397069</v>
      </c>
      <c r="O37" s="26">
        <f t="shared" si="16"/>
        <v>0</v>
      </c>
      <c r="P37" s="35">
        <f t="shared" si="2"/>
        <v>0</v>
      </c>
    </row>
    <row r="38" spans="1:16" ht="15" x14ac:dyDescent="0.25">
      <c r="A38" s="19" t="s">
        <v>65</v>
      </c>
      <c r="B38" s="33" t="s">
        <v>66</v>
      </c>
      <c r="C38" s="32">
        <v>10000000</v>
      </c>
      <c r="D38" s="22"/>
      <c r="E38" s="22"/>
      <c r="F38" s="23"/>
      <c r="G38" s="36">
        <v>639102</v>
      </c>
      <c r="H38" s="63"/>
      <c r="I38" s="21">
        <f t="shared" si="15"/>
        <v>10639102</v>
      </c>
      <c r="J38" s="22">
        <f>NOVIEMBRE!J38+NOVIEMBRE!K38</f>
        <v>9597102</v>
      </c>
      <c r="K38" s="43">
        <v>1042000</v>
      </c>
      <c r="L38" s="21">
        <f t="shared" si="12"/>
        <v>10639102</v>
      </c>
      <c r="M38" s="16">
        <f t="shared" si="1"/>
        <v>1</v>
      </c>
      <c r="N38" s="25">
        <f t="shared" si="3"/>
        <v>10639102</v>
      </c>
      <c r="O38" s="26">
        <f t="shared" si="16"/>
        <v>0</v>
      </c>
      <c r="P38" s="18">
        <f t="shared" si="2"/>
        <v>0</v>
      </c>
    </row>
    <row r="39" spans="1:16" ht="15" x14ac:dyDescent="0.25">
      <c r="A39" s="19" t="s">
        <v>67</v>
      </c>
      <c r="B39" s="33" t="s">
        <v>68</v>
      </c>
      <c r="C39" s="32">
        <v>4800000</v>
      </c>
      <c r="D39" s="22"/>
      <c r="E39" s="22"/>
      <c r="F39" s="23"/>
      <c r="G39" s="36">
        <f>1412000+14736</f>
        <v>1426736</v>
      </c>
      <c r="H39" s="63"/>
      <c r="I39" s="21">
        <f t="shared" si="15"/>
        <v>6226736</v>
      </c>
      <c r="J39" s="22">
        <f>NOVIEMBRE!J39+NOVIEMBRE!K39</f>
        <v>5696424</v>
      </c>
      <c r="K39" s="43">
        <v>530312</v>
      </c>
      <c r="L39" s="21">
        <f t="shared" si="12"/>
        <v>6226736</v>
      </c>
      <c r="M39" s="16">
        <f t="shared" si="1"/>
        <v>1</v>
      </c>
      <c r="N39" s="25">
        <f t="shared" si="3"/>
        <v>6226736</v>
      </c>
      <c r="O39" s="26">
        <f t="shared" si="16"/>
        <v>0</v>
      </c>
      <c r="P39" s="18">
        <f t="shared" si="2"/>
        <v>0</v>
      </c>
    </row>
    <row r="40" spans="1:16" ht="15" x14ac:dyDescent="0.25">
      <c r="A40" s="19" t="s">
        <v>69</v>
      </c>
      <c r="B40" s="33" t="s">
        <v>70</v>
      </c>
      <c r="C40" s="32">
        <v>3200000</v>
      </c>
      <c r="D40" s="22"/>
      <c r="E40" s="22"/>
      <c r="F40" s="23"/>
      <c r="G40" s="36"/>
      <c r="H40" s="63">
        <f>1412000+550285</f>
        <v>1962285</v>
      </c>
      <c r="I40" s="21">
        <f t="shared" si="15"/>
        <v>1237715</v>
      </c>
      <c r="J40" s="22">
        <f>NOVIEMBRE!J40+NOVIEMBRE!K40</f>
        <v>1154665</v>
      </c>
      <c r="K40" s="27">
        <f>61150+21900</f>
        <v>83050</v>
      </c>
      <c r="L40" s="21">
        <f t="shared" si="12"/>
        <v>1237715</v>
      </c>
      <c r="M40" s="16">
        <f t="shared" si="1"/>
        <v>1</v>
      </c>
      <c r="N40" s="25">
        <f t="shared" si="3"/>
        <v>1237715</v>
      </c>
      <c r="O40" s="26">
        <f t="shared" si="16"/>
        <v>0</v>
      </c>
      <c r="P40" s="18">
        <v>0</v>
      </c>
    </row>
    <row r="41" spans="1:16" ht="15" x14ac:dyDescent="0.25">
      <c r="A41" s="19" t="s">
        <v>71</v>
      </c>
      <c r="B41" s="34" t="s">
        <v>72</v>
      </c>
      <c r="C41" s="32">
        <v>3822165</v>
      </c>
      <c r="D41" s="22"/>
      <c r="E41" s="22"/>
      <c r="F41" s="23"/>
      <c r="G41" s="36"/>
      <c r="H41" s="63">
        <v>3322165</v>
      </c>
      <c r="I41" s="21">
        <f t="shared" si="15"/>
        <v>500000</v>
      </c>
      <c r="J41" s="22">
        <f>NOVIEMBRE!J41+NOVIEMBRE!K41</f>
        <v>500000</v>
      </c>
      <c r="K41" s="22">
        <v>0</v>
      </c>
      <c r="L41" s="21">
        <f t="shared" si="12"/>
        <v>500000</v>
      </c>
      <c r="M41" s="16">
        <f t="shared" si="1"/>
        <v>1</v>
      </c>
      <c r="N41" s="25">
        <f t="shared" si="3"/>
        <v>500000</v>
      </c>
      <c r="O41" s="26">
        <f t="shared" si="16"/>
        <v>0</v>
      </c>
      <c r="P41" s="18">
        <f t="shared" ref="P41:P71" si="17">O41/I41</f>
        <v>0</v>
      </c>
    </row>
    <row r="42" spans="1:16" ht="15" x14ac:dyDescent="0.25">
      <c r="A42" s="19" t="s">
        <v>73</v>
      </c>
      <c r="B42" s="33" t="s">
        <v>74</v>
      </c>
      <c r="C42" s="32">
        <v>0</v>
      </c>
      <c r="D42" s="22"/>
      <c r="E42" s="22"/>
      <c r="F42" s="23"/>
      <c r="G42" s="38"/>
      <c r="H42" s="63"/>
      <c r="I42" s="21">
        <f t="shared" si="15"/>
        <v>0</v>
      </c>
      <c r="J42" s="22">
        <f>NOVIEMBRE!J42+NOVIEMBRE!K42</f>
        <v>0</v>
      </c>
      <c r="K42" s="22"/>
      <c r="L42" s="21">
        <f t="shared" si="12"/>
        <v>0</v>
      </c>
      <c r="M42" s="16">
        <v>0</v>
      </c>
      <c r="N42" s="25">
        <f t="shared" si="3"/>
        <v>0</v>
      </c>
      <c r="O42" s="26">
        <f t="shared" si="16"/>
        <v>0</v>
      </c>
      <c r="P42" s="18">
        <v>0</v>
      </c>
    </row>
    <row r="43" spans="1:16" ht="15" x14ac:dyDescent="0.25">
      <c r="A43" s="19" t="s">
        <v>75</v>
      </c>
      <c r="B43" s="33" t="s">
        <v>76</v>
      </c>
      <c r="C43" s="32">
        <v>11000000</v>
      </c>
      <c r="D43" s="22"/>
      <c r="E43" s="22"/>
      <c r="F43" s="23"/>
      <c r="G43" s="36"/>
      <c r="H43" s="63">
        <v>3600000</v>
      </c>
      <c r="I43" s="21">
        <f t="shared" si="15"/>
        <v>7400000</v>
      </c>
      <c r="J43" s="22">
        <f>NOVIEMBRE!J43+NOVIEMBRE!K43</f>
        <v>7400000</v>
      </c>
      <c r="K43" s="45"/>
      <c r="L43" s="21">
        <f t="shared" si="12"/>
        <v>7400000</v>
      </c>
      <c r="M43" s="16">
        <f t="shared" si="1"/>
        <v>1</v>
      </c>
      <c r="N43" s="25">
        <f t="shared" si="3"/>
        <v>7400000</v>
      </c>
      <c r="O43" s="26">
        <f t="shared" si="16"/>
        <v>0</v>
      </c>
      <c r="P43" s="18">
        <f t="shared" si="17"/>
        <v>0</v>
      </c>
    </row>
    <row r="44" spans="1:16" ht="15" x14ac:dyDescent="0.25">
      <c r="A44" s="19">
        <v>45</v>
      </c>
      <c r="B44" s="33" t="s">
        <v>76</v>
      </c>
      <c r="C44" s="32">
        <v>0</v>
      </c>
      <c r="D44" s="22"/>
      <c r="E44" s="22"/>
      <c r="F44" s="23"/>
      <c r="G44" s="36">
        <f>513445+420000</f>
        <v>933445</v>
      </c>
      <c r="H44" s="63">
        <v>9150</v>
      </c>
      <c r="I44" s="21">
        <f t="shared" si="15"/>
        <v>924295</v>
      </c>
      <c r="J44" s="22">
        <f>NOVIEMBRE!J44+NOVIEMBRE!K44</f>
        <v>924295</v>
      </c>
      <c r="K44" s="45">
        <v>0</v>
      </c>
      <c r="L44" s="21">
        <f t="shared" si="12"/>
        <v>924295</v>
      </c>
      <c r="M44" s="16">
        <f t="shared" si="1"/>
        <v>1</v>
      </c>
      <c r="N44" s="25">
        <f t="shared" si="3"/>
        <v>924295</v>
      </c>
      <c r="O44" s="26">
        <f t="shared" si="16"/>
        <v>0</v>
      </c>
      <c r="P44" s="18">
        <f t="shared" si="17"/>
        <v>0</v>
      </c>
    </row>
    <row r="45" spans="1:16" ht="15" x14ac:dyDescent="0.25">
      <c r="A45" s="19" t="s">
        <v>77</v>
      </c>
      <c r="B45" s="34" t="s">
        <v>78</v>
      </c>
      <c r="C45" s="32">
        <v>20700000</v>
      </c>
      <c r="D45" s="22"/>
      <c r="E45" s="22"/>
      <c r="F45" s="23">
        <v>8258246</v>
      </c>
      <c r="G45" s="36">
        <v>741754</v>
      </c>
      <c r="H45" s="63">
        <v>10000000</v>
      </c>
      <c r="I45" s="21">
        <f t="shared" si="15"/>
        <v>19700000</v>
      </c>
      <c r="J45" s="22">
        <f>NOVIEMBRE!J45+NOVIEMBRE!K45</f>
        <v>19700000</v>
      </c>
      <c r="K45" s="45">
        <v>0</v>
      </c>
      <c r="L45" s="21">
        <f t="shared" si="12"/>
        <v>19700000</v>
      </c>
      <c r="M45" s="16">
        <f t="shared" si="1"/>
        <v>1</v>
      </c>
      <c r="N45" s="25">
        <f t="shared" si="3"/>
        <v>19700000</v>
      </c>
      <c r="O45" s="26">
        <f t="shared" si="16"/>
        <v>0</v>
      </c>
      <c r="P45" s="35">
        <f t="shared" si="17"/>
        <v>0</v>
      </c>
    </row>
    <row r="46" spans="1:16" ht="15" x14ac:dyDescent="0.25">
      <c r="A46" s="19" t="s">
        <v>79</v>
      </c>
      <c r="B46" s="33" t="s">
        <v>80</v>
      </c>
      <c r="C46" s="32">
        <v>3000000</v>
      </c>
      <c r="D46" s="22"/>
      <c r="E46" s="22"/>
      <c r="F46" s="23"/>
      <c r="G46" s="36"/>
      <c r="H46" s="63">
        <v>2000</v>
      </c>
      <c r="I46" s="21">
        <f t="shared" si="15"/>
        <v>2998000</v>
      </c>
      <c r="J46" s="22">
        <f>NOVIEMBRE!J46+NOVIEMBRE!K46</f>
        <v>2998000</v>
      </c>
      <c r="K46" s="45">
        <v>0</v>
      </c>
      <c r="L46" s="21">
        <f t="shared" si="12"/>
        <v>2998000</v>
      </c>
      <c r="M46" s="16">
        <f t="shared" si="1"/>
        <v>1</v>
      </c>
      <c r="N46" s="25">
        <f t="shared" si="3"/>
        <v>2998000</v>
      </c>
      <c r="O46" s="26">
        <f t="shared" si="16"/>
        <v>0</v>
      </c>
      <c r="P46" s="35">
        <f t="shared" si="17"/>
        <v>0</v>
      </c>
    </row>
    <row r="47" spans="1:16" ht="15" x14ac:dyDescent="0.25">
      <c r="A47" s="19" t="s">
        <v>81</v>
      </c>
      <c r="B47" s="33" t="s">
        <v>82</v>
      </c>
      <c r="C47" s="32">
        <v>20000000</v>
      </c>
      <c r="D47" s="22"/>
      <c r="E47" s="22"/>
      <c r="F47" s="23"/>
      <c r="G47" s="36"/>
      <c r="H47" s="63"/>
      <c r="I47" s="21">
        <f t="shared" si="15"/>
        <v>20000000</v>
      </c>
      <c r="J47" s="22">
        <f>NOVIEMBRE!J47+NOVIEMBRE!K47</f>
        <v>20000000</v>
      </c>
      <c r="K47" s="22">
        <v>0</v>
      </c>
      <c r="L47" s="21">
        <f t="shared" si="12"/>
        <v>20000000</v>
      </c>
      <c r="M47" s="16">
        <f t="shared" si="1"/>
        <v>1</v>
      </c>
      <c r="N47" s="25">
        <f t="shared" si="3"/>
        <v>20000000</v>
      </c>
      <c r="O47" s="26">
        <f t="shared" si="16"/>
        <v>0</v>
      </c>
      <c r="P47" s="18">
        <f t="shared" si="17"/>
        <v>0</v>
      </c>
    </row>
    <row r="48" spans="1:16" ht="15" x14ac:dyDescent="0.25">
      <c r="A48" s="19" t="s">
        <v>83</v>
      </c>
      <c r="B48" s="33" t="s">
        <v>84</v>
      </c>
      <c r="C48" s="32">
        <v>4000000</v>
      </c>
      <c r="D48" s="22"/>
      <c r="E48" s="22"/>
      <c r="F48" s="23"/>
      <c r="G48" s="36"/>
      <c r="H48" s="63">
        <v>4000000</v>
      </c>
      <c r="I48" s="21">
        <f t="shared" si="15"/>
        <v>0</v>
      </c>
      <c r="J48" s="22">
        <f>NOVIEMBRE!J48+NOVIEMBRE!K48</f>
        <v>0</v>
      </c>
      <c r="K48" s="22">
        <v>0</v>
      </c>
      <c r="L48" s="21">
        <f t="shared" si="12"/>
        <v>0</v>
      </c>
      <c r="M48" s="16">
        <v>0</v>
      </c>
      <c r="N48" s="25">
        <f t="shared" si="3"/>
        <v>0</v>
      </c>
      <c r="O48" s="26">
        <f>I48-L48</f>
        <v>0</v>
      </c>
      <c r="P48" s="18">
        <v>0</v>
      </c>
    </row>
    <row r="49" spans="1:18" ht="15" x14ac:dyDescent="0.25">
      <c r="A49" s="19" t="s">
        <v>85</v>
      </c>
      <c r="B49" s="33" t="s">
        <v>86</v>
      </c>
      <c r="C49" s="32">
        <v>0</v>
      </c>
      <c r="D49" s="22"/>
      <c r="E49" s="22"/>
      <c r="F49" s="23"/>
      <c r="G49" s="36"/>
      <c r="H49" s="63"/>
      <c r="I49" s="21">
        <f t="shared" si="15"/>
        <v>0</v>
      </c>
      <c r="J49" s="22">
        <f>NOVIEMBRE!J49+NOVIEMBRE!K49</f>
        <v>0</v>
      </c>
      <c r="K49" s="22">
        <v>0</v>
      </c>
      <c r="L49" s="21">
        <f t="shared" si="12"/>
        <v>0</v>
      </c>
      <c r="M49" s="16">
        <v>0</v>
      </c>
      <c r="N49" s="25">
        <f t="shared" si="3"/>
        <v>0</v>
      </c>
      <c r="O49" s="26">
        <f>I49-L49</f>
        <v>0</v>
      </c>
      <c r="P49" s="18">
        <v>0</v>
      </c>
    </row>
    <row r="50" spans="1:18" ht="15" x14ac:dyDescent="0.25">
      <c r="A50" s="183">
        <v>2020120215</v>
      </c>
      <c r="B50" s="33" t="s">
        <v>126</v>
      </c>
      <c r="C50" s="182">
        <v>0</v>
      </c>
      <c r="D50" s="22"/>
      <c r="E50" s="22"/>
      <c r="F50" s="23"/>
      <c r="G50" s="36">
        <v>903000</v>
      </c>
      <c r="H50" s="63">
        <v>77000</v>
      </c>
      <c r="I50" s="21">
        <f t="shared" si="15"/>
        <v>826000</v>
      </c>
      <c r="J50" s="22">
        <f>NOVIEMBRE!J50+NOVIEMBRE!K50</f>
        <v>0</v>
      </c>
      <c r="K50" s="22">
        <f>1706000-K51</f>
        <v>826000</v>
      </c>
      <c r="L50" s="21">
        <f t="shared" si="12"/>
        <v>826000</v>
      </c>
      <c r="M50" s="16">
        <f t="shared" si="1"/>
        <v>1</v>
      </c>
      <c r="N50" s="25">
        <f t="shared" si="3"/>
        <v>826000</v>
      </c>
      <c r="O50" s="26">
        <f>I50-L50</f>
        <v>0</v>
      </c>
      <c r="P50" s="18">
        <v>0</v>
      </c>
    </row>
    <row r="51" spans="1:18" ht="15" x14ac:dyDescent="0.25">
      <c r="A51" s="183">
        <v>45</v>
      </c>
      <c r="B51" s="33" t="s">
        <v>126</v>
      </c>
      <c r="C51" s="182">
        <v>0</v>
      </c>
      <c r="D51" s="22"/>
      <c r="E51" s="22"/>
      <c r="F51" s="23"/>
      <c r="G51" s="36">
        <v>880000</v>
      </c>
      <c r="H51" s="63"/>
      <c r="I51" s="21">
        <f t="shared" si="15"/>
        <v>880000</v>
      </c>
      <c r="J51" s="22">
        <f>NOVIEMBRE!J51+NOVIEMBRE!K51</f>
        <v>0</v>
      </c>
      <c r="K51" s="22">
        <v>880000</v>
      </c>
      <c r="L51" s="21">
        <f t="shared" si="12"/>
        <v>880000</v>
      </c>
      <c r="M51" s="16">
        <f t="shared" si="1"/>
        <v>1</v>
      </c>
      <c r="N51" s="25">
        <f t="shared" si="3"/>
        <v>880000</v>
      </c>
      <c r="O51" s="26">
        <f>I51-L51</f>
        <v>0</v>
      </c>
      <c r="P51" s="18">
        <v>0</v>
      </c>
    </row>
    <row r="52" spans="1:18" s="72" customFormat="1" ht="27.75" customHeight="1" x14ac:dyDescent="0.2">
      <c r="A52" s="65" t="s">
        <v>87</v>
      </c>
      <c r="B52" s="82" t="s">
        <v>88</v>
      </c>
      <c r="C52" s="73">
        <f>SUM(C53:C56)</f>
        <v>115800000</v>
      </c>
      <c r="D52" s="73">
        <f t="shared" ref="D52:K52" si="18">SUM(D53:D56)</f>
        <v>30000000</v>
      </c>
      <c r="E52" s="73">
        <f>SUM(E53:E56)</f>
        <v>30000000</v>
      </c>
      <c r="F52" s="73">
        <f t="shared" si="18"/>
        <v>0</v>
      </c>
      <c r="G52" s="73">
        <f t="shared" si="18"/>
        <v>2685240</v>
      </c>
      <c r="H52" s="73">
        <f t="shared" si="18"/>
        <v>20520156</v>
      </c>
      <c r="I52" s="73">
        <f t="shared" si="18"/>
        <v>97965084</v>
      </c>
      <c r="J52" s="73">
        <f t="shared" si="18"/>
        <v>76792269</v>
      </c>
      <c r="K52" s="73">
        <f t="shared" si="18"/>
        <v>21172815</v>
      </c>
      <c r="L52" s="68">
        <f t="shared" ref="L52" si="19">L53+L54+L55+L56</f>
        <v>97965084</v>
      </c>
      <c r="M52" s="69">
        <f t="shared" si="1"/>
        <v>1</v>
      </c>
      <c r="N52" s="73">
        <f t="shared" si="3"/>
        <v>97965084</v>
      </c>
      <c r="O52" s="73">
        <f t="shared" ref="O52" si="20">SUM(O53:O56)</f>
        <v>0</v>
      </c>
      <c r="P52" s="71">
        <f t="shared" si="17"/>
        <v>0</v>
      </c>
    </row>
    <row r="53" spans="1:18" ht="15" x14ac:dyDescent="0.25">
      <c r="A53" s="19" t="s">
        <v>89</v>
      </c>
      <c r="B53" s="33" t="s">
        <v>90</v>
      </c>
      <c r="C53" s="21">
        <v>33000000</v>
      </c>
      <c r="D53" s="22">
        <v>30000000</v>
      </c>
      <c r="E53" s="22">
        <v>30000000</v>
      </c>
      <c r="F53" s="23"/>
      <c r="G53" s="36"/>
      <c r="H53" s="63">
        <v>18787896</v>
      </c>
      <c r="I53" s="21">
        <f>C53+F53+G53-H53</f>
        <v>14212104</v>
      </c>
      <c r="J53" s="22">
        <f>NOVIEMBRE!J53+NOVIEMBRE!K53</f>
        <v>2092310</v>
      </c>
      <c r="K53" s="44">
        <v>12119794</v>
      </c>
      <c r="L53" s="21">
        <f t="shared" si="12"/>
        <v>14212104</v>
      </c>
      <c r="M53" s="16">
        <f t="shared" si="1"/>
        <v>1</v>
      </c>
      <c r="N53" s="25">
        <f t="shared" si="3"/>
        <v>14212104</v>
      </c>
      <c r="O53" s="26">
        <f>I53-L53-D53+E53</f>
        <v>0</v>
      </c>
      <c r="P53" s="18">
        <f t="shared" si="17"/>
        <v>0</v>
      </c>
    </row>
    <row r="54" spans="1:18" ht="15" x14ac:dyDescent="0.25">
      <c r="A54" s="19" t="s">
        <v>91</v>
      </c>
      <c r="B54" s="33" t="s">
        <v>92</v>
      </c>
      <c r="C54" s="21">
        <v>38000000</v>
      </c>
      <c r="D54" s="22"/>
      <c r="E54" s="22"/>
      <c r="F54" s="23"/>
      <c r="G54" s="36">
        <v>2685240</v>
      </c>
      <c r="H54" s="63"/>
      <c r="I54" s="21">
        <f>C54-D54+F54+G54-H54</f>
        <v>40685240</v>
      </c>
      <c r="J54" s="22">
        <f>NOVIEMBRE!J54+NOVIEMBRE!K54</f>
        <v>37336447</v>
      </c>
      <c r="K54" s="43">
        <f>3348793</f>
        <v>3348793</v>
      </c>
      <c r="L54" s="21">
        <f t="shared" si="12"/>
        <v>40685240</v>
      </c>
      <c r="M54" s="16">
        <f t="shared" si="1"/>
        <v>1</v>
      </c>
      <c r="N54" s="25">
        <f t="shared" si="3"/>
        <v>40685240</v>
      </c>
      <c r="O54" s="26">
        <f>I54-L54</f>
        <v>0</v>
      </c>
      <c r="P54" s="18">
        <f t="shared" si="17"/>
        <v>0</v>
      </c>
      <c r="R54" s="37"/>
    </row>
    <row r="55" spans="1:18" ht="15" x14ac:dyDescent="0.25">
      <c r="A55" s="28">
        <v>2020110304</v>
      </c>
      <c r="B55" s="33" t="s">
        <v>93</v>
      </c>
      <c r="C55" s="21">
        <v>36800000</v>
      </c>
      <c r="D55" s="22"/>
      <c r="E55" s="22"/>
      <c r="F55" s="23"/>
      <c r="G55" s="36"/>
      <c r="H55" s="63"/>
      <c r="I55" s="21">
        <f>C55-D55+F55+G55-H55</f>
        <v>36800000</v>
      </c>
      <c r="J55" s="22">
        <f>NOVIEMBRE!J55+NOVIEMBRE!K55</f>
        <v>36800000</v>
      </c>
      <c r="K55" s="43">
        <v>0</v>
      </c>
      <c r="L55" s="21">
        <f t="shared" si="12"/>
        <v>36800000</v>
      </c>
      <c r="M55" s="16">
        <f t="shared" si="1"/>
        <v>1</v>
      </c>
      <c r="N55" s="25">
        <f t="shared" si="3"/>
        <v>36800000</v>
      </c>
      <c r="O55" s="26">
        <f>I55-L55</f>
        <v>0</v>
      </c>
      <c r="P55" s="18">
        <f t="shared" si="17"/>
        <v>0</v>
      </c>
      <c r="R55" s="37"/>
    </row>
    <row r="56" spans="1:18" ht="15" x14ac:dyDescent="0.25">
      <c r="A56" s="28">
        <v>2020110305</v>
      </c>
      <c r="B56" s="33" t="s">
        <v>94</v>
      </c>
      <c r="C56" s="21">
        <v>8000000</v>
      </c>
      <c r="D56" s="15"/>
      <c r="E56" s="15"/>
      <c r="F56" s="23"/>
      <c r="G56" s="36"/>
      <c r="H56" s="46">
        <v>1732260</v>
      </c>
      <c r="I56" s="21">
        <f>C56-D56+F56+G56-H56</f>
        <v>6267740</v>
      </c>
      <c r="J56" s="22">
        <f>NOVIEMBRE!J56+NOVIEMBRE!K56</f>
        <v>563512</v>
      </c>
      <c r="K56" s="21">
        <v>5704228</v>
      </c>
      <c r="L56" s="21">
        <f t="shared" si="12"/>
        <v>6267740</v>
      </c>
      <c r="M56" s="16">
        <f t="shared" si="1"/>
        <v>1</v>
      </c>
      <c r="N56" s="25">
        <f t="shared" si="3"/>
        <v>6267740</v>
      </c>
      <c r="O56" s="26">
        <f>I56-L56</f>
        <v>0</v>
      </c>
      <c r="P56" s="18">
        <f t="shared" si="17"/>
        <v>0</v>
      </c>
      <c r="R56" s="37"/>
    </row>
    <row r="57" spans="1:18" s="72" customFormat="1" ht="27.75" customHeight="1" x14ac:dyDescent="0.2">
      <c r="A57" s="65">
        <v>20201104</v>
      </c>
      <c r="B57" s="83" t="s">
        <v>96</v>
      </c>
      <c r="C57" s="73">
        <f>SUM(C58:C67)</f>
        <v>100800000</v>
      </c>
      <c r="D57" s="73">
        <f t="shared" ref="D57:I57" si="21">SUM(D58:D67)</f>
        <v>16000000</v>
      </c>
      <c r="E57" s="73">
        <f>SUM(E58:E67)</f>
        <v>16000000</v>
      </c>
      <c r="F57" s="73">
        <f t="shared" si="21"/>
        <v>0</v>
      </c>
      <c r="G57" s="73">
        <f t="shared" si="21"/>
        <v>18166808</v>
      </c>
      <c r="H57" s="73">
        <f t="shared" si="21"/>
        <v>12779685</v>
      </c>
      <c r="I57" s="73">
        <f t="shared" si="21"/>
        <v>106187123</v>
      </c>
      <c r="J57" s="68">
        <f>SUM(J58:J67)</f>
        <v>63117889</v>
      </c>
      <c r="K57" s="68">
        <f>SUM(K58:K67)</f>
        <v>43069234</v>
      </c>
      <c r="L57" s="68">
        <f t="shared" si="12"/>
        <v>106187123</v>
      </c>
      <c r="M57" s="69">
        <f t="shared" si="1"/>
        <v>1</v>
      </c>
      <c r="N57" s="70">
        <f t="shared" si="3"/>
        <v>106187123</v>
      </c>
      <c r="O57" s="75">
        <f>SUM(O58:O67)</f>
        <v>0</v>
      </c>
      <c r="P57" s="71">
        <f t="shared" si="17"/>
        <v>0</v>
      </c>
      <c r="R57" s="79"/>
    </row>
    <row r="58" spans="1:18" ht="15" x14ac:dyDescent="0.25">
      <c r="A58" s="78" t="s">
        <v>97</v>
      </c>
      <c r="B58" s="33" t="s">
        <v>98</v>
      </c>
      <c r="C58" s="31">
        <v>21000000</v>
      </c>
      <c r="D58" s="22">
        <v>16000000</v>
      </c>
      <c r="E58" s="22">
        <v>16000000</v>
      </c>
      <c r="F58" s="23"/>
      <c r="G58" s="36">
        <f>17960832+576</f>
        <v>17961408</v>
      </c>
      <c r="H58" s="63"/>
      <c r="I58" s="21">
        <f>C58+F58+G58-H58</f>
        <v>38961408</v>
      </c>
      <c r="J58" s="22">
        <f>NOVIEMBRE!J58+NOVIEMBRE!K58</f>
        <v>4435100</v>
      </c>
      <c r="K58" s="27">
        <v>34526308</v>
      </c>
      <c r="L58" s="21">
        <f t="shared" si="12"/>
        <v>38961408</v>
      </c>
      <c r="M58" s="16">
        <f t="shared" si="1"/>
        <v>1</v>
      </c>
      <c r="N58" s="25">
        <f t="shared" si="3"/>
        <v>38961408</v>
      </c>
      <c r="O58" s="26">
        <f>I58-L58-D58+E58</f>
        <v>0</v>
      </c>
      <c r="P58" s="18">
        <f t="shared" si="17"/>
        <v>0</v>
      </c>
      <c r="R58" s="37"/>
    </row>
    <row r="59" spans="1:18" ht="15" x14ac:dyDescent="0.25">
      <c r="A59" s="19" t="s">
        <v>99</v>
      </c>
      <c r="B59" s="33" t="s">
        <v>92</v>
      </c>
      <c r="C59" s="31">
        <v>0</v>
      </c>
      <c r="D59" s="22"/>
      <c r="E59" s="22"/>
      <c r="F59" s="23"/>
      <c r="G59" s="36"/>
      <c r="H59" s="63"/>
      <c r="I59" s="21">
        <f t="shared" ref="I59:I70" si="22">C59-D59+F59+G59-H59</f>
        <v>0</v>
      </c>
      <c r="J59" s="22">
        <f>NOVIEMBRE!J59+NOVIEMBRE!K59</f>
        <v>0</v>
      </c>
      <c r="K59" s="22">
        <v>0</v>
      </c>
      <c r="L59" s="21">
        <f t="shared" si="12"/>
        <v>0</v>
      </c>
      <c r="M59" s="16">
        <v>0</v>
      </c>
      <c r="N59" s="17">
        <f t="shared" si="3"/>
        <v>0</v>
      </c>
      <c r="O59" s="26">
        <f t="shared" ref="O59:O70" si="23">I59-L59</f>
        <v>0</v>
      </c>
      <c r="P59" s="18">
        <v>0</v>
      </c>
      <c r="R59" s="37"/>
    </row>
    <row r="60" spans="1:18" ht="15" x14ac:dyDescent="0.25">
      <c r="A60" s="19" t="s">
        <v>100</v>
      </c>
      <c r="B60" s="33" t="s">
        <v>101</v>
      </c>
      <c r="C60" s="31">
        <v>3000000</v>
      </c>
      <c r="D60" s="22"/>
      <c r="E60" s="22"/>
      <c r="F60" s="23"/>
      <c r="G60" s="36">
        <v>205400</v>
      </c>
      <c r="H60" s="63"/>
      <c r="I60" s="21">
        <f t="shared" si="22"/>
        <v>3205400</v>
      </c>
      <c r="J60" s="22">
        <f>NOVIEMBRE!J60+NOVIEMBRE!K60</f>
        <v>2938200</v>
      </c>
      <c r="K60" s="43">
        <v>267200</v>
      </c>
      <c r="L60" s="21">
        <f t="shared" si="12"/>
        <v>3205400</v>
      </c>
      <c r="M60" s="16">
        <f t="shared" si="1"/>
        <v>1</v>
      </c>
      <c r="N60" s="25">
        <f t="shared" si="3"/>
        <v>3205400</v>
      </c>
      <c r="O60" s="26">
        <f t="shared" si="23"/>
        <v>0</v>
      </c>
      <c r="P60" s="18">
        <f t="shared" si="17"/>
        <v>0</v>
      </c>
      <c r="R60" s="37"/>
    </row>
    <row r="61" spans="1:18" ht="15" x14ac:dyDescent="0.25">
      <c r="A61" s="19" t="s">
        <v>102</v>
      </c>
      <c r="B61" s="33" t="s">
        <v>93</v>
      </c>
      <c r="C61" s="32">
        <v>22000000</v>
      </c>
      <c r="D61" s="22"/>
      <c r="E61" s="22"/>
      <c r="F61" s="23"/>
      <c r="G61" s="36"/>
      <c r="H61" s="63">
        <v>1022385</v>
      </c>
      <c r="I61" s="21">
        <f t="shared" si="22"/>
        <v>20977615</v>
      </c>
      <c r="J61" s="22">
        <f>NOVIEMBRE!J61+NOVIEMBRE!K61</f>
        <v>16249789</v>
      </c>
      <c r="K61" s="39">
        <v>4727826</v>
      </c>
      <c r="L61" s="21">
        <f t="shared" si="12"/>
        <v>20977615</v>
      </c>
      <c r="M61" s="16">
        <f t="shared" si="1"/>
        <v>1</v>
      </c>
      <c r="N61" s="25">
        <f t="shared" si="3"/>
        <v>20977615</v>
      </c>
      <c r="O61" s="26">
        <f t="shared" si="23"/>
        <v>0</v>
      </c>
      <c r="P61" s="18">
        <f t="shared" si="17"/>
        <v>0</v>
      </c>
      <c r="R61" s="37"/>
    </row>
    <row r="62" spans="1:18" ht="15" x14ac:dyDescent="0.25">
      <c r="A62" s="19" t="s">
        <v>103</v>
      </c>
      <c r="B62" s="33" t="s">
        <v>104</v>
      </c>
      <c r="C62" s="32">
        <v>23000000</v>
      </c>
      <c r="D62" s="22"/>
      <c r="E62" s="22"/>
      <c r="F62" s="23"/>
      <c r="G62" s="36"/>
      <c r="H62" s="63">
        <f>3000000+852100</f>
        <v>3852100</v>
      </c>
      <c r="I62" s="21">
        <f t="shared" si="22"/>
        <v>19147900</v>
      </c>
      <c r="J62" s="22">
        <f>NOVIEMBRE!J62+NOVIEMBRE!K62</f>
        <v>17571800</v>
      </c>
      <c r="K62" s="43">
        <v>1576100</v>
      </c>
      <c r="L62" s="21">
        <f t="shared" si="12"/>
        <v>19147900</v>
      </c>
      <c r="M62" s="16">
        <f t="shared" si="1"/>
        <v>1</v>
      </c>
      <c r="N62" s="25">
        <f t="shared" si="3"/>
        <v>19147900</v>
      </c>
      <c r="O62" s="26">
        <f t="shared" si="23"/>
        <v>0</v>
      </c>
      <c r="P62" s="18">
        <f t="shared" si="17"/>
        <v>0</v>
      </c>
      <c r="R62" s="37"/>
    </row>
    <row r="63" spans="1:18" ht="15" x14ac:dyDescent="0.25">
      <c r="A63" s="19" t="s">
        <v>105</v>
      </c>
      <c r="B63" s="33" t="s">
        <v>106</v>
      </c>
      <c r="C63" s="32">
        <v>19800000</v>
      </c>
      <c r="D63" s="22"/>
      <c r="E63" s="22"/>
      <c r="F63" s="23"/>
      <c r="G63" s="36"/>
      <c r="H63" s="63">
        <f>3000000+2436600</f>
        <v>5436600</v>
      </c>
      <c r="I63" s="21">
        <f t="shared" si="22"/>
        <v>14363400</v>
      </c>
      <c r="J63" s="22">
        <f>NOVIEMBRE!J63+NOVIEMBRE!K63</f>
        <v>13181100</v>
      </c>
      <c r="K63" s="43">
        <v>1182300</v>
      </c>
      <c r="L63" s="21">
        <f t="shared" si="12"/>
        <v>14363400</v>
      </c>
      <c r="M63" s="16">
        <f t="shared" si="1"/>
        <v>1</v>
      </c>
      <c r="N63" s="25">
        <f t="shared" si="3"/>
        <v>14363400</v>
      </c>
      <c r="O63" s="26">
        <f t="shared" si="23"/>
        <v>0</v>
      </c>
      <c r="P63" s="18">
        <f t="shared" si="17"/>
        <v>0</v>
      </c>
      <c r="R63" s="37"/>
    </row>
    <row r="64" spans="1:18" ht="15" x14ac:dyDescent="0.25">
      <c r="A64" s="19" t="s">
        <v>107</v>
      </c>
      <c r="B64" s="33" t="s">
        <v>108</v>
      </c>
      <c r="C64" s="32">
        <v>3000000</v>
      </c>
      <c r="D64" s="22"/>
      <c r="E64" s="22"/>
      <c r="F64" s="23"/>
      <c r="G64" s="36"/>
      <c r="H64" s="63">
        <v>620400</v>
      </c>
      <c r="I64" s="21">
        <f t="shared" si="22"/>
        <v>2379600</v>
      </c>
      <c r="J64" s="22">
        <f>NOVIEMBRE!J64+NOVIEMBRE!K64</f>
        <v>2182100</v>
      </c>
      <c r="K64" s="43">
        <v>197500</v>
      </c>
      <c r="L64" s="21">
        <f t="shared" si="12"/>
        <v>2379600</v>
      </c>
      <c r="M64" s="16">
        <f t="shared" si="1"/>
        <v>1</v>
      </c>
      <c r="N64" s="25">
        <f t="shared" si="3"/>
        <v>2379600</v>
      </c>
      <c r="O64" s="26">
        <f t="shared" si="23"/>
        <v>0</v>
      </c>
      <c r="P64" s="18">
        <f t="shared" si="17"/>
        <v>0</v>
      </c>
      <c r="R64" s="37"/>
    </row>
    <row r="65" spans="1:18" ht="15" x14ac:dyDescent="0.25">
      <c r="A65" s="19" t="s">
        <v>109</v>
      </c>
      <c r="B65" s="33" t="s">
        <v>110</v>
      </c>
      <c r="C65" s="32">
        <v>3000000</v>
      </c>
      <c r="D65" s="22"/>
      <c r="E65" s="22"/>
      <c r="F65" s="23"/>
      <c r="G65" s="36"/>
      <c r="H65" s="63">
        <v>601000</v>
      </c>
      <c r="I65" s="21">
        <f t="shared" si="22"/>
        <v>2399000</v>
      </c>
      <c r="J65" s="22">
        <f>NOVIEMBRE!J65+NOVIEMBRE!K65</f>
        <v>2201500</v>
      </c>
      <c r="K65" s="43">
        <v>197500</v>
      </c>
      <c r="L65" s="21">
        <f t="shared" si="12"/>
        <v>2399000</v>
      </c>
      <c r="M65" s="16">
        <f t="shared" si="1"/>
        <v>1</v>
      </c>
      <c r="N65" s="25">
        <f t="shared" si="3"/>
        <v>2399000</v>
      </c>
      <c r="O65" s="26">
        <f t="shared" si="23"/>
        <v>0</v>
      </c>
      <c r="P65" s="18">
        <f t="shared" si="17"/>
        <v>0</v>
      </c>
      <c r="R65" s="37"/>
    </row>
    <row r="66" spans="1:18" ht="15" x14ac:dyDescent="0.25">
      <c r="A66" s="19" t="s">
        <v>111</v>
      </c>
      <c r="B66" s="33" t="s">
        <v>112</v>
      </c>
      <c r="C66" s="32">
        <v>6000000</v>
      </c>
      <c r="D66" s="22"/>
      <c r="E66" s="22"/>
      <c r="F66" s="23"/>
      <c r="G66" s="36"/>
      <c r="H66" s="63">
        <f>1000000+247200</f>
        <v>1247200</v>
      </c>
      <c r="I66" s="21">
        <f t="shared" si="22"/>
        <v>4752800</v>
      </c>
      <c r="J66" s="22">
        <f>NOVIEMBRE!J66+NOVIEMBRE!K66</f>
        <v>4358300</v>
      </c>
      <c r="K66" s="43">
        <v>394500</v>
      </c>
      <c r="L66" s="21">
        <f t="shared" si="12"/>
        <v>4752800</v>
      </c>
      <c r="M66" s="16">
        <f t="shared" si="1"/>
        <v>1</v>
      </c>
      <c r="N66" s="25">
        <f>K66+J66</f>
        <v>4752800</v>
      </c>
      <c r="O66" s="26">
        <f t="shared" si="23"/>
        <v>0</v>
      </c>
      <c r="P66" s="18">
        <f t="shared" si="17"/>
        <v>0</v>
      </c>
      <c r="R66" s="37"/>
    </row>
    <row r="67" spans="1:18" ht="15" x14ac:dyDescent="0.25">
      <c r="A67" s="19" t="s">
        <v>113</v>
      </c>
      <c r="B67" s="33" t="s">
        <v>114</v>
      </c>
      <c r="C67" s="32"/>
      <c r="D67" s="22"/>
      <c r="E67" s="22"/>
      <c r="F67" s="23"/>
      <c r="G67" s="36"/>
      <c r="H67" s="63"/>
      <c r="I67" s="21">
        <f t="shared" si="22"/>
        <v>0</v>
      </c>
      <c r="J67" s="22">
        <f>OCTUBRE!I67+OCTUBRE!J67</f>
        <v>0</v>
      </c>
      <c r="K67" s="22">
        <v>0</v>
      </c>
      <c r="L67" s="21">
        <f t="shared" si="12"/>
        <v>0</v>
      </c>
      <c r="M67" s="16">
        <v>0</v>
      </c>
      <c r="N67" s="17">
        <f t="shared" si="3"/>
        <v>0</v>
      </c>
      <c r="O67" s="26">
        <f t="shared" si="23"/>
        <v>0</v>
      </c>
      <c r="P67" s="18">
        <v>0</v>
      </c>
      <c r="R67" s="37"/>
    </row>
    <row r="68" spans="1:18" ht="27" customHeight="1" x14ac:dyDescent="0.2">
      <c r="A68" s="180">
        <v>20201203</v>
      </c>
      <c r="B68" s="66" t="s">
        <v>123</v>
      </c>
      <c r="C68" s="73">
        <f>C69</f>
        <v>0</v>
      </c>
      <c r="D68" s="74">
        <f t="shared" ref="D68:H68" si="24">D69</f>
        <v>0</v>
      </c>
      <c r="E68" s="74"/>
      <c r="F68" s="74">
        <f>F69+F70</f>
        <v>50000000</v>
      </c>
      <c r="G68" s="68">
        <f t="shared" si="24"/>
        <v>0</v>
      </c>
      <c r="H68" s="74">
        <f t="shared" si="24"/>
        <v>0</v>
      </c>
      <c r="I68" s="68">
        <f>SUM(I69:I70)</f>
        <v>50000000</v>
      </c>
      <c r="J68" s="68">
        <f>SUM(J69:J70)</f>
        <v>30000000</v>
      </c>
      <c r="K68" s="68">
        <f>SUM(K69:K70)</f>
        <v>20000000</v>
      </c>
      <c r="L68" s="68">
        <f>SUM(L69:L70)</f>
        <v>50000000</v>
      </c>
      <c r="M68" s="69">
        <f t="shared" ref="M68" si="25">M69</f>
        <v>0</v>
      </c>
      <c r="N68" s="75">
        <f>SUM(N69:N70)</f>
        <v>50000000</v>
      </c>
      <c r="O68" s="75">
        <f>SUM(O69:O70)</f>
        <v>0</v>
      </c>
      <c r="P68" s="71">
        <f t="shared" si="17"/>
        <v>0</v>
      </c>
      <c r="R68" s="37"/>
    </row>
    <row r="69" spans="1:18" ht="15" x14ac:dyDescent="0.25">
      <c r="A69" s="181">
        <v>2020130101</v>
      </c>
      <c r="B69" s="173" t="s">
        <v>124</v>
      </c>
      <c r="C69" s="174">
        <v>0</v>
      </c>
      <c r="D69" s="175">
        <v>0</v>
      </c>
      <c r="E69" s="175"/>
      <c r="F69" s="176">
        <v>0</v>
      </c>
      <c r="G69" s="177"/>
      <c r="H69" s="178"/>
      <c r="I69" s="21">
        <f t="shared" si="22"/>
        <v>0</v>
      </c>
      <c r="J69" s="175">
        <v>0</v>
      </c>
      <c r="K69" s="175">
        <v>0</v>
      </c>
      <c r="L69" s="179">
        <v>0</v>
      </c>
      <c r="M69" s="16">
        <v>0</v>
      </c>
      <c r="N69" s="25">
        <f t="shared" si="3"/>
        <v>0</v>
      </c>
      <c r="O69" s="26">
        <f t="shared" si="23"/>
        <v>0</v>
      </c>
      <c r="P69" s="18">
        <v>0</v>
      </c>
      <c r="R69" s="37"/>
    </row>
    <row r="70" spans="1:18" ht="15" x14ac:dyDescent="0.25">
      <c r="A70" s="181">
        <v>45</v>
      </c>
      <c r="B70" s="173" t="s">
        <v>124</v>
      </c>
      <c r="C70" s="174">
        <v>0</v>
      </c>
      <c r="D70" s="175">
        <v>0</v>
      </c>
      <c r="E70" s="175"/>
      <c r="F70" s="176">
        <v>50000000</v>
      </c>
      <c r="G70" s="177">
        <v>0</v>
      </c>
      <c r="H70" s="178">
        <v>0</v>
      </c>
      <c r="I70" s="21">
        <f t="shared" si="22"/>
        <v>50000000</v>
      </c>
      <c r="J70" s="175">
        <f>SEPTIEMBRE!I70+SEPTIEMBRE!J70</f>
        <v>30000000</v>
      </c>
      <c r="K70" s="175">
        <v>20000000</v>
      </c>
      <c r="L70" s="179">
        <f>J70+K70</f>
        <v>50000000</v>
      </c>
      <c r="M70" s="16">
        <f t="shared" si="1"/>
        <v>1</v>
      </c>
      <c r="N70" s="25">
        <f t="shared" si="3"/>
        <v>50000000</v>
      </c>
      <c r="O70" s="26">
        <f t="shared" si="23"/>
        <v>0</v>
      </c>
      <c r="P70" s="18">
        <f t="shared" si="17"/>
        <v>0</v>
      </c>
      <c r="R70" s="37"/>
    </row>
    <row r="71" spans="1:18" s="80" customFormat="1" ht="31.5" customHeight="1" thickBot="1" x14ac:dyDescent="0.25">
      <c r="A71" s="81"/>
      <c r="B71" s="166" t="s">
        <v>115</v>
      </c>
      <c r="C71" s="171">
        <f>C57+C52+C32+C19+C24+C8</f>
        <v>1030155044</v>
      </c>
      <c r="D71" s="167">
        <f t="shared" ref="D71:K71" si="26">D8+D19+D24+D32+D52+D57+D68</f>
        <v>46000000</v>
      </c>
      <c r="E71" s="167">
        <f t="shared" si="26"/>
        <v>46000000</v>
      </c>
      <c r="F71" s="167">
        <f t="shared" si="26"/>
        <v>143076544</v>
      </c>
      <c r="G71" s="167">
        <f t="shared" si="26"/>
        <v>139978888</v>
      </c>
      <c r="H71" s="167">
        <f>H8+H19+H24+H32+H52+H57+H68</f>
        <v>139978888</v>
      </c>
      <c r="I71" s="167">
        <f t="shared" si="26"/>
        <v>1173231588</v>
      </c>
      <c r="J71" s="167">
        <f t="shared" si="26"/>
        <v>947331614.97776079</v>
      </c>
      <c r="K71" s="167">
        <f t="shared" si="26"/>
        <v>225608466</v>
      </c>
      <c r="L71" s="167">
        <f>L57+L52+L32+L24+L19+L8+L68</f>
        <v>1173231587.9777608</v>
      </c>
      <c r="M71" s="168">
        <f t="shared" si="1"/>
        <v>0.9999999999810445</v>
      </c>
      <c r="N71" s="167">
        <f>N8+N19+N24+N32+N52+N57+N68</f>
        <v>1172940080.9777608</v>
      </c>
      <c r="O71" s="167">
        <f>O8+O19+O24+O32+O52+O57+O68</f>
        <v>0</v>
      </c>
      <c r="P71" s="170">
        <f t="shared" si="17"/>
        <v>0</v>
      </c>
      <c r="Q71" s="188"/>
    </row>
    <row r="72" spans="1:18" ht="35.25" customHeight="1" thickBot="1" x14ac:dyDescent="0.3">
      <c r="A72" s="165" t="s">
        <v>118</v>
      </c>
      <c r="B72" s="192" t="s">
        <v>119</v>
      </c>
      <c r="C72" s="193"/>
      <c r="D72" s="193"/>
      <c r="E72" s="193"/>
      <c r="F72" s="193"/>
      <c r="G72" s="193"/>
      <c r="H72" s="193"/>
      <c r="I72" s="193"/>
      <c r="J72" s="193"/>
      <c r="K72" s="193"/>
      <c r="L72" s="193"/>
      <c r="M72" s="193"/>
      <c r="N72" s="193"/>
      <c r="O72" s="193"/>
      <c r="P72" s="194"/>
      <c r="R72" s="40"/>
    </row>
    <row r="73" spans="1:18" ht="35.25" customHeight="1" x14ac:dyDescent="0.25">
      <c r="A73" s="190"/>
      <c r="B73" s="191"/>
      <c r="C73" s="191"/>
      <c r="D73" s="191"/>
      <c r="E73" s="191"/>
      <c r="F73" s="191"/>
      <c r="G73" s="191"/>
      <c r="H73" s="191"/>
      <c r="I73" s="191"/>
      <c r="J73" s="191"/>
      <c r="K73" s="191"/>
      <c r="L73" s="191"/>
      <c r="M73" s="191"/>
      <c r="N73" s="191"/>
      <c r="O73" s="191"/>
      <c r="P73" s="191"/>
      <c r="R73" s="40"/>
    </row>
    <row r="74" spans="1:18" x14ac:dyDescent="0.2">
      <c r="G74" s="189"/>
      <c r="L74" s="40"/>
    </row>
    <row r="75" spans="1:18" x14ac:dyDescent="0.2">
      <c r="D75" s="40"/>
      <c r="E75" s="40"/>
      <c r="F75" s="40"/>
      <c r="G75" s="40"/>
      <c r="H75" s="40"/>
      <c r="L75" s="40"/>
      <c r="O75" s="40"/>
    </row>
    <row r="76" spans="1:18" x14ac:dyDescent="0.2">
      <c r="G76" s="40"/>
      <c r="H76" s="40"/>
      <c r="J76" s="40"/>
      <c r="K76" s="42"/>
      <c r="O76" s="40"/>
    </row>
    <row r="77" spans="1:18" x14ac:dyDescent="0.2">
      <c r="D77" s="40"/>
      <c r="E77" s="40"/>
      <c r="K77" s="40"/>
      <c r="M77" s="40"/>
      <c r="O77" s="40"/>
    </row>
    <row r="78" spans="1:18" x14ac:dyDescent="0.2">
      <c r="G78" s="40"/>
      <c r="H78" s="40"/>
      <c r="I78" s="40"/>
      <c r="K78" s="40"/>
      <c r="M78" s="40"/>
      <c r="O78" s="40"/>
    </row>
    <row r="79" spans="1:18" x14ac:dyDescent="0.2">
      <c r="K79" s="40"/>
    </row>
  </sheetData>
  <mergeCells count="6">
    <mergeCell ref="B72:P72"/>
    <mergeCell ref="A1:P1"/>
    <mergeCell ref="A2:P2"/>
    <mergeCell ref="A3:P3"/>
    <mergeCell ref="D5:D6"/>
    <mergeCell ref="M5:M6"/>
  </mergeCells>
  <printOptions horizontalCentered="1" verticalCentered="1"/>
  <pageMargins left="0.23622047244094491" right="0.23622047244094491" top="0.39370078740157483" bottom="0.98425196850393704" header="0" footer="0"/>
  <pageSetup paperSize="14" scale="42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6"/>
  <sheetViews>
    <sheetView showGridLines="0" zoomScale="80" zoomScaleNormal="80" workbookViewId="0">
      <pane xSplit="2" ySplit="7" topLeftCell="C38" activePane="bottomRight" state="frozen"/>
      <selection pane="topRight" activeCell="C1" sqref="C1"/>
      <selection pane="bottomLeft" activeCell="A8" sqref="A8"/>
      <selection pane="bottomRight" activeCell="J48" sqref="J48:J57"/>
    </sheetView>
  </sheetViews>
  <sheetFormatPr baseColWidth="10" defaultRowHeight="14.25" x14ac:dyDescent="0.2"/>
  <cols>
    <col min="1" max="1" width="16" style="1" customWidth="1"/>
    <col min="2" max="2" width="49.625" style="1" customWidth="1"/>
    <col min="3" max="3" width="21.625" style="1" bestFit="1" customWidth="1"/>
    <col min="4" max="7" width="14.625" style="1" customWidth="1"/>
    <col min="8" max="8" width="17.875" style="1" bestFit="1" customWidth="1"/>
    <col min="9" max="9" width="20.625" style="1" bestFit="1" customWidth="1"/>
    <col min="10" max="10" width="14.625" style="1" customWidth="1"/>
    <col min="11" max="11" width="14.625" style="1" hidden="1" customWidth="1"/>
    <col min="12" max="12" width="7.875" style="1" customWidth="1"/>
    <col min="13" max="13" width="17.375" style="41" customWidth="1"/>
    <col min="14" max="14" width="14.625" style="1" customWidth="1"/>
    <col min="15" max="15" width="8.5" style="1" customWidth="1"/>
    <col min="16" max="16" width="11" style="1"/>
    <col min="17" max="17" width="10.125" style="1" bestFit="1" customWidth="1"/>
    <col min="18" max="256" width="11" style="1"/>
    <col min="257" max="257" width="16" style="1" customWidth="1"/>
    <col min="258" max="258" width="49.625" style="1" customWidth="1"/>
    <col min="259" max="259" width="15.25" style="1" customWidth="1"/>
    <col min="260" max="266" width="14.625" style="1" customWidth="1"/>
    <col min="267" max="267" width="0" style="1" hidden="1" customWidth="1"/>
    <col min="268" max="268" width="7.875" style="1" customWidth="1"/>
    <col min="269" max="269" width="17.375" style="1" customWidth="1"/>
    <col min="270" max="270" width="14.625" style="1" customWidth="1"/>
    <col min="271" max="271" width="8.5" style="1" customWidth="1"/>
    <col min="272" max="272" width="11" style="1"/>
    <col min="273" max="273" width="10.125" style="1" bestFit="1" customWidth="1"/>
    <col min="274" max="512" width="11" style="1"/>
    <col min="513" max="513" width="16" style="1" customWidth="1"/>
    <col min="514" max="514" width="49.625" style="1" customWidth="1"/>
    <col min="515" max="515" width="15.25" style="1" customWidth="1"/>
    <col min="516" max="522" width="14.625" style="1" customWidth="1"/>
    <col min="523" max="523" width="0" style="1" hidden="1" customWidth="1"/>
    <col min="524" max="524" width="7.875" style="1" customWidth="1"/>
    <col min="525" max="525" width="17.375" style="1" customWidth="1"/>
    <col min="526" max="526" width="14.625" style="1" customWidth="1"/>
    <col min="527" max="527" width="8.5" style="1" customWidth="1"/>
    <col min="528" max="528" width="11" style="1"/>
    <col min="529" max="529" width="10.125" style="1" bestFit="1" customWidth="1"/>
    <col min="530" max="768" width="11" style="1"/>
    <col min="769" max="769" width="16" style="1" customWidth="1"/>
    <col min="770" max="770" width="49.625" style="1" customWidth="1"/>
    <col min="771" max="771" width="15.25" style="1" customWidth="1"/>
    <col min="772" max="778" width="14.625" style="1" customWidth="1"/>
    <col min="779" max="779" width="0" style="1" hidden="1" customWidth="1"/>
    <col min="780" max="780" width="7.875" style="1" customWidth="1"/>
    <col min="781" max="781" width="17.375" style="1" customWidth="1"/>
    <col min="782" max="782" width="14.625" style="1" customWidth="1"/>
    <col min="783" max="783" width="8.5" style="1" customWidth="1"/>
    <col min="784" max="784" width="11" style="1"/>
    <col min="785" max="785" width="10.125" style="1" bestFit="1" customWidth="1"/>
    <col min="786" max="1024" width="11" style="1"/>
    <col min="1025" max="1025" width="16" style="1" customWidth="1"/>
    <col min="1026" max="1026" width="49.625" style="1" customWidth="1"/>
    <col min="1027" max="1027" width="15.25" style="1" customWidth="1"/>
    <col min="1028" max="1034" width="14.625" style="1" customWidth="1"/>
    <col min="1035" max="1035" width="0" style="1" hidden="1" customWidth="1"/>
    <col min="1036" max="1036" width="7.875" style="1" customWidth="1"/>
    <col min="1037" max="1037" width="17.375" style="1" customWidth="1"/>
    <col min="1038" max="1038" width="14.625" style="1" customWidth="1"/>
    <col min="1039" max="1039" width="8.5" style="1" customWidth="1"/>
    <col min="1040" max="1040" width="11" style="1"/>
    <col min="1041" max="1041" width="10.125" style="1" bestFit="1" customWidth="1"/>
    <col min="1042" max="1280" width="11" style="1"/>
    <col min="1281" max="1281" width="16" style="1" customWidth="1"/>
    <col min="1282" max="1282" width="49.625" style="1" customWidth="1"/>
    <col min="1283" max="1283" width="15.25" style="1" customWidth="1"/>
    <col min="1284" max="1290" width="14.625" style="1" customWidth="1"/>
    <col min="1291" max="1291" width="0" style="1" hidden="1" customWidth="1"/>
    <col min="1292" max="1292" width="7.875" style="1" customWidth="1"/>
    <col min="1293" max="1293" width="17.375" style="1" customWidth="1"/>
    <col min="1294" max="1294" width="14.625" style="1" customWidth="1"/>
    <col min="1295" max="1295" width="8.5" style="1" customWidth="1"/>
    <col min="1296" max="1296" width="11" style="1"/>
    <col min="1297" max="1297" width="10.125" style="1" bestFit="1" customWidth="1"/>
    <col min="1298" max="1536" width="11" style="1"/>
    <col min="1537" max="1537" width="16" style="1" customWidth="1"/>
    <col min="1538" max="1538" width="49.625" style="1" customWidth="1"/>
    <col min="1539" max="1539" width="15.25" style="1" customWidth="1"/>
    <col min="1540" max="1546" width="14.625" style="1" customWidth="1"/>
    <col min="1547" max="1547" width="0" style="1" hidden="1" customWidth="1"/>
    <col min="1548" max="1548" width="7.875" style="1" customWidth="1"/>
    <col min="1549" max="1549" width="17.375" style="1" customWidth="1"/>
    <col min="1550" max="1550" width="14.625" style="1" customWidth="1"/>
    <col min="1551" max="1551" width="8.5" style="1" customWidth="1"/>
    <col min="1552" max="1552" width="11" style="1"/>
    <col min="1553" max="1553" width="10.125" style="1" bestFit="1" customWidth="1"/>
    <col min="1554" max="1792" width="11" style="1"/>
    <col min="1793" max="1793" width="16" style="1" customWidth="1"/>
    <col min="1794" max="1794" width="49.625" style="1" customWidth="1"/>
    <col min="1795" max="1795" width="15.25" style="1" customWidth="1"/>
    <col min="1796" max="1802" width="14.625" style="1" customWidth="1"/>
    <col min="1803" max="1803" width="0" style="1" hidden="1" customWidth="1"/>
    <col min="1804" max="1804" width="7.875" style="1" customWidth="1"/>
    <col min="1805" max="1805" width="17.375" style="1" customWidth="1"/>
    <col min="1806" max="1806" width="14.625" style="1" customWidth="1"/>
    <col min="1807" max="1807" width="8.5" style="1" customWidth="1"/>
    <col min="1808" max="1808" width="11" style="1"/>
    <col min="1809" max="1809" width="10.125" style="1" bestFit="1" customWidth="1"/>
    <col min="1810" max="2048" width="11" style="1"/>
    <col min="2049" max="2049" width="16" style="1" customWidth="1"/>
    <col min="2050" max="2050" width="49.625" style="1" customWidth="1"/>
    <col min="2051" max="2051" width="15.25" style="1" customWidth="1"/>
    <col min="2052" max="2058" width="14.625" style="1" customWidth="1"/>
    <col min="2059" max="2059" width="0" style="1" hidden="1" customWidth="1"/>
    <col min="2060" max="2060" width="7.875" style="1" customWidth="1"/>
    <col min="2061" max="2061" width="17.375" style="1" customWidth="1"/>
    <col min="2062" max="2062" width="14.625" style="1" customWidth="1"/>
    <col min="2063" max="2063" width="8.5" style="1" customWidth="1"/>
    <col min="2064" max="2064" width="11" style="1"/>
    <col min="2065" max="2065" width="10.125" style="1" bestFit="1" customWidth="1"/>
    <col min="2066" max="2304" width="11" style="1"/>
    <col min="2305" max="2305" width="16" style="1" customWidth="1"/>
    <col min="2306" max="2306" width="49.625" style="1" customWidth="1"/>
    <col min="2307" max="2307" width="15.25" style="1" customWidth="1"/>
    <col min="2308" max="2314" width="14.625" style="1" customWidth="1"/>
    <col min="2315" max="2315" width="0" style="1" hidden="1" customWidth="1"/>
    <col min="2316" max="2316" width="7.875" style="1" customWidth="1"/>
    <col min="2317" max="2317" width="17.375" style="1" customWidth="1"/>
    <col min="2318" max="2318" width="14.625" style="1" customWidth="1"/>
    <col min="2319" max="2319" width="8.5" style="1" customWidth="1"/>
    <col min="2320" max="2320" width="11" style="1"/>
    <col min="2321" max="2321" width="10.125" style="1" bestFit="1" customWidth="1"/>
    <col min="2322" max="2560" width="11" style="1"/>
    <col min="2561" max="2561" width="16" style="1" customWidth="1"/>
    <col min="2562" max="2562" width="49.625" style="1" customWidth="1"/>
    <col min="2563" max="2563" width="15.25" style="1" customWidth="1"/>
    <col min="2564" max="2570" width="14.625" style="1" customWidth="1"/>
    <col min="2571" max="2571" width="0" style="1" hidden="1" customWidth="1"/>
    <col min="2572" max="2572" width="7.875" style="1" customWidth="1"/>
    <col min="2573" max="2573" width="17.375" style="1" customWidth="1"/>
    <col min="2574" max="2574" width="14.625" style="1" customWidth="1"/>
    <col min="2575" max="2575" width="8.5" style="1" customWidth="1"/>
    <col min="2576" max="2576" width="11" style="1"/>
    <col min="2577" max="2577" width="10.125" style="1" bestFit="1" customWidth="1"/>
    <col min="2578" max="2816" width="11" style="1"/>
    <col min="2817" max="2817" width="16" style="1" customWidth="1"/>
    <col min="2818" max="2818" width="49.625" style="1" customWidth="1"/>
    <col min="2819" max="2819" width="15.25" style="1" customWidth="1"/>
    <col min="2820" max="2826" width="14.625" style="1" customWidth="1"/>
    <col min="2827" max="2827" width="0" style="1" hidden="1" customWidth="1"/>
    <col min="2828" max="2828" width="7.875" style="1" customWidth="1"/>
    <col min="2829" max="2829" width="17.375" style="1" customWidth="1"/>
    <col min="2830" max="2830" width="14.625" style="1" customWidth="1"/>
    <col min="2831" max="2831" width="8.5" style="1" customWidth="1"/>
    <col min="2832" max="2832" width="11" style="1"/>
    <col min="2833" max="2833" width="10.125" style="1" bestFit="1" customWidth="1"/>
    <col min="2834" max="3072" width="11" style="1"/>
    <col min="3073" max="3073" width="16" style="1" customWidth="1"/>
    <col min="3074" max="3074" width="49.625" style="1" customWidth="1"/>
    <col min="3075" max="3075" width="15.25" style="1" customWidth="1"/>
    <col min="3076" max="3082" width="14.625" style="1" customWidth="1"/>
    <col min="3083" max="3083" width="0" style="1" hidden="1" customWidth="1"/>
    <col min="3084" max="3084" width="7.875" style="1" customWidth="1"/>
    <col min="3085" max="3085" width="17.375" style="1" customWidth="1"/>
    <col min="3086" max="3086" width="14.625" style="1" customWidth="1"/>
    <col min="3087" max="3087" width="8.5" style="1" customWidth="1"/>
    <col min="3088" max="3088" width="11" style="1"/>
    <col min="3089" max="3089" width="10.125" style="1" bestFit="1" customWidth="1"/>
    <col min="3090" max="3328" width="11" style="1"/>
    <col min="3329" max="3329" width="16" style="1" customWidth="1"/>
    <col min="3330" max="3330" width="49.625" style="1" customWidth="1"/>
    <col min="3331" max="3331" width="15.25" style="1" customWidth="1"/>
    <col min="3332" max="3338" width="14.625" style="1" customWidth="1"/>
    <col min="3339" max="3339" width="0" style="1" hidden="1" customWidth="1"/>
    <col min="3340" max="3340" width="7.875" style="1" customWidth="1"/>
    <col min="3341" max="3341" width="17.375" style="1" customWidth="1"/>
    <col min="3342" max="3342" width="14.625" style="1" customWidth="1"/>
    <col min="3343" max="3343" width="8.5" style="1" customWidth="1"/>
    <col min="3344" max="3344" width="11" style="1"/>
    <col min="3345" max="3345" width="10.125" style="1" bestFit="1" customWidth="1"/>
    <col min="3346" max="3584" width="11" style="1"/>
    <col min="3585" max="3585" width="16" style="1" customWidth="1"/>
    <col min="3586" max="3586" width="49.625" style="1" customWidth="1"/>
    <col min="3587" max="3587" width="15.25" style="1" customWidth="1"/>
    <col min="3588" max="3594" width="14.625" style="1" customWidth="1"/>
    <col min="3595" max="3595" width="0" style="1" hidden="1" customWidth="1"/>
    <col min="3596" max="3596" width="7.875" style="1" customWidth="1"/>
    <col min="3597" max="3597" width="17.375" style="1" customWidth="1"/>
    <col min="3598" max="3598" width="14.625" style="1" customWidth="1"/>
    <col min="3599" max="3599" width="8.5" style="1" customWidth="1"/>
    <col min="3600" max="3600" width="11" style="1"/>
    <col min="3601" max="3601" width="10.125" style="1" bestFit="1" customWidth="1"/>
    <col min="3602" max="3840" width="11" style="1"/>
    <col min="3841" max="3841" width="16" style="1" customWidth="1"/>
    <col min="3842" max="3842" width="49.625" style="1" customWidth="1"/>
    <col min="3843" max="3843" width="15.25" style="1" customWidth="1"/>
    <col min="3844" max="3850" width="14.625" style="1" customWidth="1"/>
    <col min="3851" max="3851" width="0" style="1" hidden="1" customWidth="1"/>
    <col min="3852" max="3852" width="7.875" style="1" customWidth="1"/>
    <col min="3853" max="3853" width="17.375" style="1" customWidth="1"/>
    <col min="3854" max="3854" width="14.625" style="1" customWidth="1"/>
    <col min="3855" max="3855" width="8.5" style="1" customWidth="1"/>
    <col min="3856" max="3856" width="11" style="1"/>
    <col min="3857" max="3857" width="10.125" style="1" bestFit="1" customWidth="1"/>
    <col min="3858" max="4096" width="11" style="1"/>
    <col min="4097" max="4097" width="16" style="1" customWidth="1"/>
    <col min="4098" max="4098" width="49.625" style="1" customWidth="1"/>
    <col min="4099" max="4099" width="15.25" style="1" customWidth="1"/>
    <col min="4100" max="4106" width="14.625" style="1" customWidth="1"/>
    <col min="4107" max="4107" width="0" style="1" hidden="1" customWidth="1"/>
    <col min="4108" max="4108" width="7.875" style="1" customWidth="1"/>
    <col min="4109" max="4109" width="17.375" style="1" customWidth="1"/>
    <col min="4110" max="4110" width="14.625" style="1" customWidth="1"/>
    <col min="4111" max="4111" width="8.5" style="1" customWidth="1"/>
    <col min="4112" max="4112" width="11" style="1"/>
    <col min="4113" max="4113" width="10.125" style="1" bestFit="1" customWidth="1"/>
    <col min="4114" max="4352" width="11" style="1"/>
    <col min="4353" max="4353" width="16" style="1" customWidth="1"/>
    <col min="4354" max="4354" width="49.625" style="1" customWidth="1"/>
    <col min="4355" max="4355" width="15.25" style="1" customWidth="1"/>
    <col min="4356" max="4362" width="14.625" style="1" customWidth="1"/>
    <col min="4363" max="4363" width="0" style="1" hidden="1" customWidth="1"/>
    <col min="4364" max="4364" width="7.875" style="1" customWidth="1"/>
    <col min="4365" max="4365" width="17.375" style="1" customWidth="1"/>
    <col min="4366" max="4366" width="14.625" style="1" customWidth="1"/>
    <col min="4367" max="4367" width="8.5" style="1" customWidth="1"/>
    <col min="4368" max="4368" width="11" style="1"/>
    <col min="4369" max="4369" width="10.125" style="1" bestFit="1" customWidth="1"/>
    <col min="4370" max="4608" width="11" style="1"/>
    <col min="4609" max="4609" width="16" style="1" customWidth="1"/>
    <col min="4610" max="4610" width="49.625" style="1" customWidth="1"/>
    <col min="4611" max="4611" width="15.25" style="1" customWidth="1"/>
    <col min="4612" max="4618" width="14.625" style="1" customWidth="1"/>
    <col min="4619" max="4619" width="0" style="1" hidden="1" customWidth="1"/>
    <col min="4620" max="4620" width="7.875" style="1" customWidth="1"/>
    <col min="4621" max="4621" width="17.375" style="1" customWidth="1"/>
    <col min="4622" max="4622" width="14.625" style="1" customWidth="1"/>
    <col min="4623" max="4623" width="8.5" style="1" customWidth="1"/>
    <col min="4624" max="4624" width="11" style="1"/>
    <col min="4625" max="4625" width="10.125" style="1" bestFit="1" customWidth="1"/>
    <col min="4626" max="4864" width="11" style="1"/>
    <col min="4865" max="4865" width="16" style="1" customWidth="1"/>
    <col min="4866" max="4866" width="49.625" style="1" customWidth="1"/>
    <col min="4867" max="4867" width="15.25" style="1" customWidth="1"/>
    <col min="4868" max="4874" width="14.625" style="1" customWidth="1"/>
    <col min="4875" max="4875" width="0" style="1" hidden="1" customWidth="1"/>
    <col min="4876" max="4876" width="7.875" style="1" customWidth="1"/>
    <col min="4877" max="4877" width="17.375" style="1" customWidth="1"/>
    <col min="4878" max="4878" width="14.625" style="1" customWidth="1"/>
    <col min="4879" max="4879" width="8.5" style="1" customWidth="1"/>
    <col min="4880" max="4880" width="11" style="1"/>
    <col min="4881" max="4881" width="10.125" style="1" bestFit="1" customWidth="1"/>
    <col min="4882" max="5120" width="11" style="1"/>
    <col min="5121" max="5121" width="16" style="1" customWidth="1"/>
    <col min="5122" max="5122" width="49.625" style="1" customWidth="1"/>
    <col min="5123" max="5123" width="15.25" style="1" customWidth="1"/>
    <col min="5124" max="5130" width="14.625" style="1" customWidth="1"/>
    <col min="5131" max="5131" width="0" style="1" hidden="1" customWidth="1"/>
    <col min="5132" max="5132" width="7.875" style="1" customWidth="1"/>
    <col min="5133" max="5133" width="17.375" style="1" customWidth="1"/>
    <col min="5134" max="5134" width="14.625" style="1" customWidth="1"/>
    <col min="5135" max="5135" width="8.5" style="1" customWidth="1"/>
    <col min="5136" max="5136" width="11" style="1"/>
    <col min="5137" max="5137" width="10.125" style="1" bestFit="1" customWidth="1"/>
    <col min="5138" max="5376" width="11" style="1"/>
    <col min="5377" max="5377" width="16" style="1" customWidth="1"/>
    <col min="5378" max="5378" width="49.625" style="1" customWidth="1"/>
    <col min="5379" max="5379" width="15.25" style="1" customWidth="1"/>
    <col min="5380" max="5386" width="14.625" style="1" customWidth="1"/>
    <col min="5387" max="5387" width="0" style="1" hidden="1" customWidth="1"/>
    <col min="5388" max="5388" width="7.875" style="1" customWidth="1"/>
    <col min="5389" max="5389" width="17.375" style="1" customWidth="1"/>
    <col min="5390" max="5390" width="14.625" style="1" customWidth="1"/>
    <col min="5391" max="5391" width="8.5" style="1" customWidth="1"/>
    <col min="5392" max="5392" width="11" style="1"/>
    <col min="5393" max="5393" width="10.125" style="1" bestFit="1" customWidth="1"/>
    <col min="5394" max="5632" width="11" style="1"/>
    <col min="5633" max="5633" width="16" style="1" customWidth="1"/>
    <col min="5634" max="5634" width="49.625" style="1" customWidth="1"/>
    <col min="5635" max="5635" width="15.25" style="1" customWidth="1"/>
    <col min="5636" max="5642" width="14.625" style="1" customWidth="1"/>
    <col min="5643" max="5643" width="0" style="1" hidden="1" customWidth="1"/>
    <col min="5644" max="5644" width="7.875" style="1" customWidth="1"/>
    <col min="5645" max="5645" width="17.375" style="1" customWidth="1"/>
    <col min="5646" max="5646" width="14.625" style="1" customWidth="1"/>
    <col min="5647" max="5647" width="8.5" style="1" customWidth="1"/>
    <col min="5648" max="5648" width="11" style="1"/>
    <col min="5649" max="5649" width="10.125" style="1" bestFit="1" customWidth="1"/>
    <col min="5650" max="5888" width="11" style="1"/>
    <col min="5889" max="5889" width="16" style="1" customWidth="1"/>
    <col min="5890" max="5890" width="49.625" style="1" customWidth="1"/>
    <col min="5891" max="5891" width="15.25" style="1" customWidth="1"/>
    <col min="5892" max="5898" width="14.625" style="1" customWidth="1"/>
    <col min="5899" max="5899" width="0" style="1" hidden="1" customWidth="1"/>
    <col min="5900" max="5900" width="7.875" style="1" customWidth="1"/>
    <col min="5901" max="5901" width="17.375" style="1" customWidth="1"/>
    <col min="5902" max="5902" width="14.625" style="1" customWidth="1"/>
    <col min="5903" max="5903" width="8.5" style="1" customWidth="1"/>
    <col min="5904" max="5904" width="11" style="1"/>
    <col min="5905" max="5905" width="10.125" style="1" bestFit="1" customWidth="1"/>
    <col min="5906" max="6144" width="11" style="1"/>
    <col min="6145" max="6145" width="16" style="1" customWidth="1"/>
    <col min="6146" max="6146" width="49.625" style="1" customWidth="1"/>
    <col min="6147" max="6147" width="15.25" style="1" customWidth="1"/>
    <col min="6148" max="6154" width="14.625" style="1" customWidth="1"/>
    <col min="6155" max="6155" width="0" style="1" hidden="1" customWidth="1"/>
    <col min="6156" max="6156" width="7.875" style="1" customWidth="1"/>
    <col min="6157" max="6157" width="17.375" style="1" customWidth="1"/>
    <col min="6158" max="6158" width="14.625" style="1" customWidth="1"/>
    <col min="6159" max="6159" width="8.5" style="1" customWidth="1"/>
    <col min="6160" max="6160" width="11" style="1"/>
    <col min="6161" max="6161" width="10.125" style="1" bestFit="1" customWidth="1"/>
    <col min="6162" max="6400" width="11" style="1"/>
    <col min="6401" max="6401" width="16" style="1" customWidth="1"/>
    <col min="6402" max="6402" width="49.625" style="1" customWidth="1"/>
    <col min="6403" max="6403" width="15.25" style="1" customWidth="1"/>
    <col min="6404" max="6410" width="14.625" style="1" customWidth="1"/>
    <col min="6411" max="6411" width="0" style="1" hidden="1" customWidth="1"/>
    <col min="6412" max="6412" width="7.875" style="1" customWidth="1"/>
    <col min="6413" max="6413" width="17.375" style="1" customWidth="1"/>
    <col min="6414" max="6414" width="14.625" style="1" customWidth="1"/>
    <col min="6415" max="6415" width="8.5" style="1" customWidth="1"/>
    <col min="6416" max="6416" width="11" style="1"/>
    <col min="6417" max="6417" width="10.125" style="1" bestFit="1" customWidth="1"/>
    <col min="6418" max="6656" width="11" style="1"/>
    <col min="6657" max="6657" width="16" style="1" customWidth="1"/>
    <col min="6658" max="6658" width="49.625" style="1" customWidth="1"/>
    <col min="6659" max="6659" width="15.25" style="1" customWidth="1"/>
    <col min="6660" max="6666" width="14.625" style="1" customWidth="1"/>
    <col min="6667" max="6667" width="0" style="1" hidden="1" customWidth="1"/>
    <col min="6668" max="6668" width="7.875" style="1" customWidth="1"/>
    <col min="6669" max="6669" width="17.375" style="1" customWidth="1"/>
    <col min="6670" max="6670" width="14.625" style="1" customWidth="1"/>
    <col min="6671" max="6671" width="8.5" style="1" customWidth="1"/>
    <col min="6672" max="6672" width="11" style="1"/>
    <col min="6673" max="6673" width="10.125" style="1" bestFit="1" customWidth="1"/>
    <col min="6674" max="6912" width="11" style="1"/>
    <col min="6913" max="6913" width="16" style="1" customWidth="1"/>
    <col min="6914" max="6914" width="49.625" style="1" customWidth="1"/>
    <col min="6915" max="6915" width="15.25" style="1" customWidth="1"/>
    <col min="6916" max="6922" width="14.625" style="1" customWidth="1"/>
    <col min="6923" max="6923" width="0" style="1" hidden="1" customWidth="1"/>
    <col min="6924" max="6924" width="7.875" style="1" customWidth="1"/>
    <col min="6925" max="6925" width="17.375" style="1" customWidth="1"/>
    <col min="6926" max="6926" width="14.625" style="1" customWidth="1"/>
    <col min="6927" max="6927" width="8.5" style="1" customWidth="1"/>
    <col min="6928" max="6928" width="11" style="1"/>
    <col min="6929" max="6929" width="10.125" style="1" bestFit="1" customWidth="1"/>
    <col min="6930" max="7168" width="11" style="1"/>
    <col min="7169" max="7169" width="16" style="1" customWidth="1"/>
    <col min="7170" max="7170" width="49.625" style="1" customWidth="1"/>
    <col min="7171" max="7171" width="15.25" style="1" customWidth="1"/>
    <col min="7172" max="7178" width="14.625" style="1" customWidth="1"/>
    <col min="7179" max="7179" width="0" style="1" hidden="1" customWidth="1"/>
    <col min="7180" max="7180" width="7.875" style="1" customWidth="1"/>
    <col min="7181" max="7181" width="17.375" style="1" customWidth="1"/>
    <col min="7182" max="7182" width="14.625" style="1" customWidth="1"/>
    <col min="7183" max="7183" width="8.5" style="1" customWidth="1"/>
    <col min="7184" max="7184" width="11" style="1"/>
    <col min="7185" max="7185" width="10.125" style="1" bestFit="1" customWidth="1"/>
    <col min="7186" max="7424" width="11" style="1"/>
    <col min="7425" max="7425" width="16" style="1" customWidth="1"/>
    <col min="7426" max="7426" width="49.625" style="1" customWidth="1"/>
    <col min="7427" max="7427" width="15.25" style="1" customWidth="1"/>
    <col min="7428" max="7434" width="14.625" style="1" customWidth="1"/>
    <col min="7435" max="7435" width="0" style="1" hidden="1" customWidth="1"/>
    <col min="7436" max="7436" width="7.875" style="1" customWidth="1"/>
    <col min="7437" max="7437" width="17.375" style="1" customWidth="1"/>
    <col min="7438" max="7438" width="14.625" style="1" customWidth="1"/>
    <col min="7439" max="7439" width="8.5" style="1" customWidth="1"/>
    <col min="7440" max="7440" width="11" style="1"/>
    <col min="7441" max="7441" width="10.125" style="1" bestFit="1" customWidth="1"/>
    <col min="7442" max="7680" width="11" style="1"/>
    <col min="7681" max="7681" width="16" style="1" customWidth="1"/>
    <col min="7682" max="7682" width="49.625" style="1" customWidth="1"/>
    <col min="7683" max="7683" width="15.25" style="1" customWidth="1"/>
    <col min="7684" max="7690" width="14.625" style="1" customWidth="1"/>
    <col min="7691" max="7691" width="0" style="1" hidden="1" customWidth="1"/>
    <col min="7692" max="7692" width="7.875" style="1" customWidth="1"/>
    <col min="7693" max="7693" width="17.375" style="1" customWidth="1"/>
    <col min="7694" max="7694" width="14.625" style="1" customWidth="1"/>
    <col min="7695" max="7695" width="8.5" style="1" customWidth="1"/>
    <col min="7696" max="7696" width="11" style="1"/>
    <col min="7697" max="7697" width="10.125" style="1" bestFit="1" customWidth="1"/>
    <col min="7698" max="7936" width="11" style="1"/>
    <col min="7937" max="7937" width="16" style="1" customWidth="1"/>
    <col min="7938" max="7938" width="49.625" style="1" customWidth="1"/>
    <col min="7939" max="7939" width="15.25" style="1" customWidth="1"/>
    <col min="7940" max="7946" width="14.625" style="1" customWidth="1"/>
    <col min="7947" max="7947" width="0" style="1" hidden="1" customWidth="1"/>
    <col min="7948" max="7948" width="7.875" style="1" customWidth="1"/>
    <col min="7949" max="7949" width="17.375" style="1" customWidth="1"/>
    <col min="7950" max="7950" width="14.625" style="1" customWidth="1"/>
    <col min="7951" max="7951" width="8.5" style="1" customWidth="1"/>
    <col min="7952" max="7952" width="11" style="1"/>
    <col min="7953" max="7953" width="10.125" style="1" bestFit="1" customWidth="1"/>
    <col min="7954" max="8192" width="11" style="1"/>
    <col min="8193" max="8193" width="16" style="1" customWidth="1"/>
    <col min="8194" max="8194" width="49.625" style="1" customWidth="1"/>
    <col min="8195" max="8195" width="15.25" style="1" customWidth="1"/>
    <col min="8196" max="8202" width="14.625" style="1" customWidth="1"/>
    <col min="8203" max="8203" width="0" style="1" hidden="1" customWidth="1"/>
    <col min="8204" max="8204" width="7.875" style="1" customWidth="1"/>
    <col min="8205" max="8205" width="17.375" style="1" customWidth="1"/>
    <col min="8206" max="8206" width="14.625" style="1" customWidth="1"/>
    <col min="8207" max="8207" width="8.5" style="1" customWidth="1"/>
    <col min="8208" max="8208" width="11" style="1"/>
    <col min="8209" max="8209" width="10.125" style="1" bestFit="1" customWidth="1"/>
    <col min="8210" max="8448" width="11" style="1"/>
    <col min="8449" max="8449" width="16" style="1" customWidth="1"/>
    <col min="8450" max="8450" width="49.625" style="1" customWidth="1"/>
    <col min="8451" max="8451" width="15.25" style="1" customWidth="1"/>
    <col min="8452" max="8458" width="14.625" style="1" customWidth="1"/>
    <col min="8459" max="8459" width="0" style="1" hidden="1" customWidth="1"/>
    <col min="8460" max="8460" width="7.875" style="1" customWidth="1"/>
    <col min="8461" max="8461" width="17.375" style="1" customWidth="1"/>
    <col min="8462" max="8462" width="14.625" style="1" customWidth="1"/>
    <col min="8463" max="8463" width="8.5" style="1" customWidth="1"/>
    <col min="8464" max="8464" width="11" style="1"/>
    <col min="8465" max="8465" width="10.125" style="1" bestFit="1" customWidth="1"/>
    <col min="8466" max="8704" width="11" style="1"/>
    <col min="8705" max="8705" width="16" style="1" customWidth="1"/>
    <col min="8706" max="8706" width="49.625" style="1" customWidth="1"/>
    <col min="8707" max="8707" width="15.25" style="1" customWidth="1"/>
    <col min="8708" max="8714" width="14.625" style="1" customWidth="1"/>
    <col min="8715" max="8715" width="0" style="1" hidden="1" customWidth="1"/>
    <col min="8716" max="8716" width="7.875" style="1" customWidth="1"/>
    <col min="8717" max="8717" width="17.375" style="1" customWidth="1"/>
    <col min="8718" max="8718" width="14.625" style="1" customWidth="1"/>
    <col min="8719" max="8719" width="8.5" style="1" customWidth="1"/>
    <col min="8720" max="8720" width="11" style="1"/>
    <col min="8721" max="8721" width="10.125" style="1" bestFit="1" customWidth="1"/>
    <col min="8722" max="8960" width="11" style="1"/>
    <col min="8961" max="8961" width="16" style="1" customWidth="1"/>
    <col min="8962" max="8962" width="49.625" style="1" customWidth="1"/>
    <col min="8963" max="8963" width="15.25" style="1" customWidth="1"/>
    <col min="8964" max="8970" width="14.625" style="1" customWidth="1"/>
    <col min="8971" max="8971" width="0" style="1" hidden="1" customWidth="1"/>
    <col min="8972" max="8972" width="7.875" style="1" customWidth="1"/>
    <col min="8973" max="8973" width="17.375" style="1" customWidth="1"/>
    <col min="8974" max="8974" width="14.625" style="1" customWidth="1"/>
    <col min="8975" max="8975" width="8.5" style="1" customWidth="1"/>
    <col min="8976" max="8976" width="11" style="1"/>
    <col min="8977" max="8977" width="10.125" style="1" bestFit="1" customWidth="1"/>
    <col min="8978" max="9216" width="11" style="1"/>
    <col min="9217" max="9217" width="16" style="1" customWidth="1"/>
    <col min="9218" max="9218" width="49.625" style="1" customWidth="1"/>
    <col min="9219" max="9219" width="15.25" style="1" customWidth="1"/>
    <col min="9220" max="9226" width="14.625" style="1" customWidth="1"/>
    <col min="9227" max="9227" width="0" style="1" hidden="1" customWidth="1"/>
    <col min="9228" max="9228" width="7.875" style="1" customWidth="1"/>
    <col min="9229" max="9229" width="17.375" style="1" customWidth="1"/>
    <col min="9230" max="9230" width="14.625" style="1" customWidth="1"/>
    <col min="9231" max="9231" width="8.5" style="1" customWidth="1"/>
    <col min="9232" max="9232" width="11" style="1"/>
    <col min="9233" max="9233" width="10.125" style="1" bestFit="1" customWidth="1"/>
    <col min="9234" max="9472" width="11" style="1"/>
    <col min="9473" max="9473" width="16" style="1" customWidth="1"/>
    <col min="9474" max="9474" width="49.625" style="1" customWidth="1"/>
    <col min="9475" max="9475" width="15.25" style="1" customWidth="1"/>
    <col min="9476" max="9482" width="14.625" style="1" customWidth="1"/>
    <col min="9483" max="9483" width="0" style="1" hidden="1" customWidth="1"/>
    <col min="9484" max="9484" width="7.875" style="1" customWidth="1"/>
    <col min="9485" max="9485" width="17.375" style="1" customWidth="1"/>
    <col min="9486" max="9486" width="14.625" style="1" customWidth="1"/>
    <col min="9487" max="9487" width="8.5" style="1" customWidth="1"/>
    <col min="9488" max="9488" width="11" style="1"/>
    <col min="9489" max="9489" width="10.125" style="1" bestFit="1" customWidth="1"/>
    <col min="9490" max="9728" width="11" style="1"/>
    <col min="9729" max="9729" width="16" style="1" customWidth="1"/>
    <col min="9730" max="9730" width="49.625" style="1" customWidth="1"/>
    <col min="9731" max="9731" width="15.25" style="1" customWidth="1"/>
    <col min="9732" max="9738" width="14.625" style="1" customWidth="1"/>
    <col min="9739" max="9739" width="0" style="1" hidden="1" customWidth="1"/>
    <col min="9740" max="9740" width="7.875" style="1" customWidth="1"/>
    <col min="9741" max="9741" width="17.375" style="1" customWidth="1"/>
    <col min="9742" max="9742" width="14.625" style="1" customWidth="1"/>
    <col min="9743" max="9743" width="8.5" style="1" customWidth="1"/>
    <col min="9744" max="9744" width="11" style="1"/>
    <col min="9745" max="9745" width="10.125" style="1" bestFit="1" customWidth="1"/>
    <col min="9746" max="9984" width="11" style="1"/>
    <col min="9985" max="9985" width="16" style="1" customWidth="1"/>
    <col min="9986" max="9986" width="49.625" style="1" customWidth="1"/>
    <col min="9987" max="9987" width="15.25" style="1" customWidth="1"/>
    <col min="9988" max="9994" width="14.625" style="1" customWidth="1"/>
    <col min="9995" max="9995" width="0" style="1" hidden="1" customWidth="1"/>
    <col min="9996" max="9996" width="7.875" style="1" customWidth="1"/>
    <col min="9997" max="9997" width="17.375" style="1" customWidth="1"/>
    <col min="9998" max="9998" width="14.625" style="1" customWidth="1"/>
    <col min="9999" max="9999" width="8.5" style="1" customWidth="1"/>
    <col min="10000" max="10000" width="11" style="1"/>
    <col min="10001" max="10001" width="10.125" style="1" bestFit="1" customWidth="1"/>
    <col min="10002" max="10240" width="11" style="1"/>
    <col min="10241" max="10241" width="16" style="1" customWidth="1"/>
    <col min="10242" max="10242" width="49.625" style="1" customWidth="1"/>
    <col min="10243" max="10243" width="15.25" style="1" customWidth="1"/>
    <col min="10244" max="10250" width="14.625" style="1" customWidth="1"/>
    <col min="10251" max="10251" width="0" style="1" hidden="1" customWidth="1"/>
    <col min="10252" max="10252" width="7.875" style="1" customWidth="1"/>
    <col min="10253" max="10253" width="17.375" style="1" customWidth="1"/>
    <col min="10254" max="10254" width="14.625" style="1" customWidth="1"/>
    <col min="10255" max="10255" width="8.5" style="1" customWidth="1"/>
    <col min="10256" max="10256" width="11" style="1"/>
    <col min="10257" max="10257" width="10.125" style="1" bestFit="1" customWidth="1"/>
    <col min="10258" max="10496" width="11" style="1"/>
    <col min="10497" max="10497" width="16" style="1" customWidth="1"/>
    <col min="10498" max="10498" width="49.625" style="1" customWidth="1"/>
    <col min="10499" max="10499" width="15.25" style="1" customWidth="1"/>
    <col min="10500" max="10506" width="14.625" style="1" customWidth="1"/>
    <col min="10507" max="10507" width="0" style="1" hidden="1" customWidth="1"/>
    <col min="10508" max="10508" width="7.875" style="1" customWidth="1"/>
    <col min="10509" max="10509" width="17.375" style="1" customWidth="1"/>
    <col min="10510" max="10510" width="14.625" style="1" customWidth="1"/>
    <col min="10511" max="10511" width="8.5" style="1" customWidth="1"/>
    <col min="10512" max="10512" width="11" style="1"/>
    <col min="10513" max="10513" width="10.125" style="1" bestFit="1" customWidth="1"/>
    <col min="10514" max="10752" width="11" style="1"/>
    <col min="10753" max="10753" width="16" style="1" customWidth="1"/>
    <col min="10754" max="10754" width="49.625" style="1" customWidth="1"/>
    <col min="10755" max="10755" width="15.25" style="1" customWidth="1"/>
    <col min="10756" max="10762" width="14.625" style="1" customWidth="1"/>
    <col min="10763" max="10763" width="0" style="1" hidden="1" customWidth="1"/>
    <col min="10764" max="10764" width="7.875" style="1" customWidth="1"/>
    <col min="10765" max="10765" width="17.375" style="1" customWidth="1"/>
    <col min="10766" max="10766" width="14.625" style="1" customWidth="1"/>
    <col min="10767" max="10767" width="8.5" style="1" customWidth="1"/>
    <col min="10768" max="10768" width="11" style="1"/>
    <col min="10769" max="10769" width="10.125" style="1" bestFit="1" customWidth="1"/>
    <col min="10770" max="11008" width="11" style="1"/>
    <col min="11009" max="11009" width="16" style="1" customWidth="1"/>
    <col min="11010" max="11010" width="49.625" style="1" customWidth="1"/>
    <col min="11011" max="11011" width="15.25" style="1" customWidth="1"/>
    <col min="11012" max="11018" width="14.625" style="1" customWidth="1"/>
    <col min="11019" max="11019" width="0" style="1" hidden="1" customWidth="1"/>
    <col min="11020" max="11020" width="7.875" style="1" customWidth="1"/>
    <col min="11021" max="11021" width="17.375" style="1" customWidth="1"/>
    <col min="11022" max="11022" width="14.625" style="1" customWidth="1"/>
    <col min="11023" max="11023" width="8.5" style="1" customWidth="1"/>
    <col min="11024" max="11024" width="11" style="1"/>
    <col min="11025" max="11025" width="10.125" style="1" bestFit="1" customWidth="1"/>
    <col min="11026" max="11264" width="11" style="1"/>
    <col min="11265" max="11265" width="16" style="1" customWidth="1"/>
    <col min="11266" max="11266" width="49.625" style="1" customWidth="1"/>
    <col min="11267" max="11267" width="15.25" style="1" customWidth="1"/>
    <col min="11268" max="11274" width="14.625" style="1" customWidth="1"/>
    <col min="11275" max="11275" width="0" style="1" hidden="1" customWidth="1"/>
    <col min="11276" max="11276" width="7.875" style="1" customWidth="1"/>
    <col min="11277" max="11277" width="17.375" style="1" customWidth="1"/>
    <col min="11278" max="11278" width="14.625" style="1" customWidth="1"/>
    <col min="11279" max="11279" width="8.5" style="1" customWidth="1"/>
    <col min="11280" max="11280" width="11" style="1"/>
    <col min="11281" max="11281" width="10.125" style="1" bestFit="1" customWidth="1"/>
    <col min="11282" max="11520" width="11" style="1"/>
    <col min="11521" max="11521" width="16" style="1" customWidth="1"/>
    <col min="11522" max="11522" width="49.625" style="1" customWidth="1"/>
    <col min="11523" max="11523" width="15.25" style="1" customWidth="1"/>
    <col min="11524" max="11530" width="14.625" style="1" customWidth="1"/>
    <col min="11531" max="11531" width="0" style="1" hidden="1" customWidth="1"/>
    <col min="11532" max="11532" width="7.875" style="1" customWidth="1"/>
    <col min="11533" max="11533" width="17.375" style="1" customWidth="1"/>
    <col min="11534" max="11534" width="14.625" style="1" customWidth="1"/>
    <col min="11535" max="11535" width="8.5" style="1" customWidth="1"/>
    <col min="11536" max="11536" width="11" style="1"/>
    <col min="11537" max="11537" width="10.125" style="1" bestFit="1" customWidth="1"/>
    <col min="11538" max="11776" width="11" style="1"/>
    <col min="11777" max="11777" width="16" style="1" customWidth="1"/>
    <col min="11778" max="11778" width="49.625" style="1" customWidth="1"/>
    <col min="11779" max="11779" width="15.25" style="1" customWidth="1"/>
    <col min="11780" max="11786" width="14.625" style="1" customWidth="1"/>
    <col min="11787" max="11787" width="0" style="1" hidden="1" customWidth="1"/>
    <col min="11788" max="11788" width="7.875" style="1" customWidth="1"/>
    <col min="11789" max="11789" width="17.375" style="1" customWidth="1"/>
    <col min="11790" max="11790" width="14.625" style="1" customWidth="1"/>
    <col min="11791" max="11791" width="8.5" style="1" customWidth="1"/>
    <col min="11792" max="11792" width="11" style="1"/>
    <col min="11793" max="11793" width="10.125" style="1" bestFit="1" customWidth="1"/>
    <col min="11794" max="12032" width="11" style="1"/>
    <col min="12033" max="12033" width="16" style="1" customWidth="1"/>
    <col min="12034" max="12034" width="49.625" style="1" customWidth="1"/>
    <col min="12035" max="12035" width="15.25" style="1" customWidth="1"/>
    <col min="12036" max="12042" width="14.625" style="1" customWidth="1"/>
    <col min="12043" max="12043" width="0" style="1" hidden="1" customWidth="1"/>
    <col min="12044" max="12044" width="7.875" style="1" customWidth="1"/>
    <col min="12045" max="12045" width="17.375" style="1" customWidth="1"/>
    <col min="12046" max="12046" width="14.625" style="1" customWidth="1"/>
    <col min="12047" max="12047" width="8.5" style="1" customWidth="1"/>
    <col min="12048" max="12048" width="11" style="1"/>
    <col min="12049" max="12049" width="10.125" style="1" bestFit="1" customWidth="1"/>
    <col min="12050" max="12288" width="11" style="1"/>
    <col min="12289" max="12289" width="16" style="1" customWidth="1"/>
    <col min="12290" max="12290" width="49.625" style="1" customWidth="1"/>
    <col min="12291" max="12291" width="15.25" style="1" customWidth="1"/>
    <col min="12292" max="12298" width="14.625" style="1" customWidth="1"/>
    <col min="12299" max="12299" width="0" style="1" hidden="1" customWidth="1"/>
    <col min="12300" max="12300" width="7.875" style="1" customWidth="1"/>
    <col min="12301" max="12301" width="17.375" style="1" customWidth="1"/>
    <col min="12302" max="12302" width="14.625" style="1" customWidth="1"/>
    <col min="12303" max="12303" width="8.5" style="1" customWidth="1"/>
    <col min="12304" max="12304" width="11" style="1"/>
    <col min="12305" max="12305" width="10.125" style="1" bestFit="1" customWidth="1"/>
    <col min="12306" max="12544" width="11" style="1"/>
    <col min="12545" max="12545" width="16" style="1" customWidth="1"/>
    <col min="12546" max="12546" width="49.625" style="1" customWidth="1"/>
    <col min="12547" max="12547" width="15.25" style="1" customWidth="1"/>
    <col min="12548" max="12554" width="14.625" style="1" customWidth="1"/>
    <col min="12555" max="12555" width="0" style="1" hidden="1" customWidth="1"/>
    <col min="12556" max="12556" width="7.875" style="1" customWidth="1"/>
    <col min="12557" max="12557" width="17.375" style="1" customWidth="1"/>
    <col min="12558" max="12558" width="14.625" style="1" customWidth="1"/>
    <col min="12559" max="12559" width="8.5" style="1" customWidth="1"/>
    <col min="12560" max="12560" width="11" style="1"/>
    <col min="12561" max="12561" width="10.125" style="1" bestFit="1" customWidth="1"/>
    <col min="12562" max="12800" width="11" style="1"/>
    <col min="12801" max="12801" width="16" style="1" customWidth="1"/>
    <col min="12802" max="12802" width="49.625" style="1" customWidth="1"/>
    <col min="12803" max="12803" width="15.25" style="1" customWidth="1"/>
    <col min="12804" max="12810" width="14.625" style="1" customWidth="1"/>
    <col min="12811" max="12811" width="0" style="1" hidden="1" customWidth="1"/>
    <col min="12812" max="12812" width="7.875" style="1" customWidth="1"/>
    <col min="12813" max="12813" width="17.375" style="1" customWidth="1"/>
    <col min="12814" max="12814" width="14.625" style="1" customWidth="1"/>
    <col min="12815" max="12815" width="8.5" style="1" customWidth="1"/>
    <col min="12816" max="12816" width="11" style="1"/>
    <col min="12817" max="12817" width="10.125" style="1" bestFit="1" customWidth="1"/>
    <col min="12818" max="13056" width="11" style="1"/>
    <col min="13057" max="13057" width="16" style="1" customWidth="1"/>
    <col min="13058" max="13058" width="49.625" style="1" customWidth="1"/>
    <col min="13059" max="13059" width="15.25" style="1" customWidth="1"/>
    <col min="13060" max="13066" width="14.625" style="1" customWidth="1"/>
    <col min="13067" max="13067" width="0" style="1" hidden="1" customWidth="1"/>
    <col min="13068" max="13068" width="7.875" style="1" customWidth="1"/>
    <col min="13069" max="13069" width="17.375" style="1" customWidth="1"/>
    <col min="13070" max="13070" width="14.625" style="1" customWidth="1"/>
    <col min="13071" max="13071" width="8.5" style="1" customWidth="1"/>
    <col min="13072" max="13072" width="11" style="1"/>
    <col min="13073" max="13073" width="10.125" style="1" bestFit="1" customWidth="1"/>
    <col min="13074" max="13312" width="11" style="1"/>
    <col min="13313" max="13313" width="16" style="1" customWidth="1"/>
    <col min="13314" max="13314" width="49.625" style="1" customWidth="1"/>
    <col min="13315" max="13315" width="15.25" style="1" customWidth="1"/>
    <col min="13316" max="13322" width="14.625" style="1" customWidth="1"/>
    <col min="13323" max="13323" width="0" style="1" hidden="1" customWidth="1"/>
    <col min="13324" max="13324" width="7.875" style="1" customWidth="1"/>
    <col min="13325" max="13325" width="17.375" style="1" customWidth="1"/>
    <col min="13326" max="13326" width="14.625" style="1" customWidth="1"/>
    <col min="13327" max="13327" width="8.5" style="1" customWidth="1"/>
    <col min="13328" max="13328" width="11" style="1"/>
    <col min="13329" max="13329" width="10.125" style="1" bestFit="1" customWidth="1"/>
    <col min="13330" max="13568" width="11" style="1"/>
    <col min="13569" max="13569" width="16" style="1" customWidth="1"/>
    <col min="13570" max="13570" width="49.625" style="1" customWidth="1"/>
    <col min="13571" max="13571" width="15.25" style="1" customWidth="1"/>
    <col min="13572" max="13578" width="14.625" style="1" customWidth="1"/>
    <col min="13579" max="13579" width="0" style="1" hidden="1" customWidth="1"/>
    <col min="13580" max="13580" width="7.875" style="1" customWidth="1"/>
    <col min="13581" max="13581" width="17.375" style="1" customWidth="1"/>
    <col min="13582" max="13582" width="14.625" style="1" customWidth="1"/>
    <col min="13583" max="13583" width="8.5" style="1" customWidth="1"/>
    <col min="13584" max="13584" width="11" style="1"/>
    <col min="13585" max="13585" width="10.125" style="1" bestFit="1" customWidth="1"/>
    <col min="13586" max="13824" width="11" style="1"/>
    <col min="13825" max="13825" width="16" style="1" customWidth="1"/>
    <col min="13826" max="13826" width="49.625" style="1" customWidth="1"/>
    <col min="13827" max="13827" width="15.25" style="1" customWidth="1"/>
    <col min="13828" max="13834" width="14.625" style="1" customWidth="1"/>
    <col min="13835" max="13835" width="0" style="1" hidden="1" customWidth="1"/>
    <col min="13836" max="13836" width="7.875" style="1" customWidth="1"/>
    <col min="13837" max="13837" width="17.375" style="1" customWidth="1"/>
    <col min="13838" max="13838" width="14.625" style="1" customWidth="1"/>
    <col min="13839" max="13839" width="8.5" style="1" customWidth="1"/>
    <col min="13840" max="13840" width="11" style="1"/>
    <col min="13841" max="13841" width="10.125" style="1" bestFit="1" customWidth="1"/>
    <col min="13842" max="14080" width="11" style="1"/>
    <col min="14081" max="14081" width="16" style="1" customWidth="1"/>
    <col min="14082" max="14082" width="49.625" style="1" customWidth="1"/>
    <col min="14083" max="14083" width="15.25" style="1" customWidth="1"/>
    <col min="14084" max="14090" width="14.625" style="1" customWidth="1"/>
    <col min="14091" max="14091" width="0" style="1" hidden="1" customWidth="1"/>
    <col min="14092" max="14092" width="7.875" style="1" customWidth="1"/>
    <col min="14093" max="14093" width="17.375" style="1" customWidth="1"/>
    <col min="14094" max="14094" width="14.625" style="1" customWidth="1"/>
    <col min="14095" max="14095" width="8.5" style="1" customWidth="1"/>
    <col min="14096" max="14096" width="11" style="1"/>
    <col min="14097" max="14097" width="10.125" style="1" bestFit="1" customWidth="1"/>
    <col min="14098" max="14336" width="11" style="1"/>
    <col min="14337" max="14337" width="16" style="1" customWidth="1"/>
    <col min="14338" max="14338" width="49.625" style="1" customWidth="1"/>
    <col min="14339" max="14339" width="15.25" style="1" customWidth="1"/>
    <col min="14340" max="14346" width="14.625" style="1" customWidth="1"/>
    <col min="14347" max="14347" width="0" style="1" hidden="1" customWidth="1"/>
    <col min="14348" max="14348" width="7.875" style="1" customWidth="1"/>
    <col min="14349" max="14349" width="17.375" style="1" customWidth="1"/>
    <col min="14350" max="14350" width="14.625" style="1" customWidth="1"/>
    <col min="14351" max="14351" width="8.5" style="1" customWidth="1"/>
    <col min="14352" max="14352" width="11" style="1"/>
    <col min="14353" max="14353" width="10.125" style="1" bestFit="1" customWidth="1"/>
    <col min="14354" max="14592" width="11" style="1"/>
    <col min="14593" max="14593" width="16" style="1" customWidth="1"/>
    <col min="14594" max="14594" width="49.625" style="1" customWidth="1"/>
    <col min="14595" max="14595" width="15.25" style="1" customWidth="1"/>
    <col min="14596" max="14602" width="14.625" style="1" customWidth="1"/>
    <col min="14603" max="14603" width="0" style="1" hidden="1" customWidth="1"/>
    <col min="14604" max="14604" width="7.875" style="1" customWidth="1"/>
    <col min="14605" max="14605" width="17.375" style="1" customWidth="1"/>
    <col min="14606" max="14606" width="14.625" style="1" customWidth="1"/>
    <col min="14607" max="14607" width="8.5" style="1" customWidth="1"/>
    <col min="14608" max="14608" width="11" style="1"/>
    <col min="14609" max="14609" width="10.125" style="1" bestFit="1" customWidth="1"/>
    <col min="14610" max="14848" width="11" style="1"/>
    <col min="14849" max="14849" width="16" style="1" customWidth="1"/>
    <col min="14850" max="14850" width="49.625" style="1" customWidth="1"/>
    <col min="14851" max="14851" width="15.25" style="1" customWidth="1"/>
    <col min="14852" max="14858" width="14.625" style="1" customWidth="1"/>
    <col min="14859" max="14859" width="0" style="1" hidden="1" customWidth="1"/>
    <col min="14860" max="14860" width="7.875" style="1" customWidth="1"/>
    <col min="14861" max="14861" width="17.375" style="1" customWidth="1"/>
    <col min="14862" max="14862" width="14.625" style="1" customWidth="1"/>
    <col min="14863" max="14863" width="8.5" style="1" customWidth="1"/>
    <col min="14864" max="14864" width="11" style="1"/>
    <col min="14865" max="14865" width="10.125" style="1" bestFit="1" customWidth="1"/>
    <col min="14866" max="15104" width="11" style="1"/>
    <col min="15105" max="15105" width="16" style="1" customWidth="1"/>
    <col min="15106" max="15106" width="49.625" style="1" customWidth="1"/>
    <col min="15107" max="15107" width="15.25" style="1" customWidth="1"/>
    <col min="15108" max="15114" width="14.625" style="1" customWidth="1"/>
    <col min="15115" max="15115" width="0" style="1" hidden="1" customWidth="1"/>
    <col min="15116" max="15116" width="7.875" style="1" customWidth="1"/>
    <col min="15117" max="15117" width="17.375" style="1" customWidth="1"/>
    <col min="15118" max="15118" width="14.625" style="1" customWidth="1"/>
    <col min="15119" max="15119" width="8.5" style="1" customWidth="1"/>
    <col min="15120" max="15120" width="11" style="1"/>
    <col min="15121" max="15121" width="10.125" style="1" bestFit="1" customWidth="1"/>
    <col min="15122" max="15360" width="11" style="1"/>
    <col min="15361" max="15361" width="16" style="1" customWidth="1"/>
    <col min="15362" max="15362" width="49.625" style="1" customWidth="1"/>
    <col min="15363" max="15363" width="15.25" style="1" customWidth="1"/>
    <col min="15364" max="15370" width="14.625" style="1" customWidth="1"/>
    <col min="15371" max="15371" width="0" style="1" hidden="1" customWidth="1"/>
    <col min="15372" max="15372" width="7.875" style="1" customWidth="1"/>
    <col min="15373" max="15373" width="17.375" style="1" customWidth="1"/>
    <col min="15374" max="15374" width="14.625" style="1" customWidth="1"/>
    <col min="15375" max="15375" width="8.5" style="1" customWidth="1"/>
    <col min="15376" max="15376" width="11" style="1"/>
    <col min="15377" max="15377" width="10.125" style="1" bestFit="1" customWidth="1"/>
    <col min="15378" max="15616" width="11" style="1"/>
    <col min="15617" max="15617" width="16" style="1" customWidth="1"/>
    <col min="15618" max="15618" width="49.625" style="1" customWidth="1"/>
    <col min="15619" max="15619" width="15.25" style="1" customWidth="1"/>
    <col min="15620" max="15626" width="14.625" style="1" customWidth="1"/>
    <col min="15627" max="15627" width="0" style="1" hidden="1" customWidth="1"/>
    <col min="15628" max="15628" width="7.875" style="1" customWidth="1"/>
    <col min="15629" max="15629" width="17.375" style="1" customWidth="1"/>
    <col min="15630" max="15630" width="14.625" style="1" customWidth="1"/>
    <col min="15631" max="15631" width="8.5" style="1" customWidth="1"/>
    <col min="15632" max="15632" width="11" style="1"/>
    <col min="15633" max="15633" width="10.125" style="1" bestFit="1" customWidth="1"/>
    <col min="15634" max="15872" width="11" style="1"/>
    <col min="15873" max="15873" width="16" style="1" customWidth="1"/>
    <col min="15874" max="15874" width="49.625" style="1" customWidth="1"/>
    <col min="15875" max="15875" width="15.25" style="1" customWidth="1"/>
    <col min="15876" max="15882" width="14.625" style="1" customWidth="1"/>
    <col min="15883" max="15883" width="0" style="1" hidden="1" customWidth="1"/>
    <col min="15884" max="15884" width="7.875" style="1" customWidth="1"/>
    <col min="15885" max="15885" width="17.375" style="1" customWidth="1"/>
    <col min="15886" max="15886" width="14.625" style="1" customWidth="1"/>
    <col min="15887" max="15887" width="8.5" style="1" customWidth="1"/>
    <col min="15888" max="15888" width="11" style="1"/>
    <col min="15889" max="15889" width="10.125" style="1" bestFit="1" customWidth="1"/>
    <col min="15890" max="16128" width="11" style="1"/>
    <col min="16129" max="16129" width="16" style="1" customWidth="1"/>
    <col min="16130" max="16130" width="49.625" style="1" customWidth="1"/>
    <col min="16131" max="16131" width="15.25" style="1" customWidth="1"/>
    <col min="16132" max="16138" width="14.625" style="1" customWidth="1"/>
    <col min="16139" max="16139" width="0" style="1" hidden="1" customWidth="1"/>
    <col min="16140" max="16140" width="7.875" style="1" customWidth="1"/>
    <col min="16141" max="16141" width="17.375" style="1" customWidth="1"/>
    <col min="16142" max="16142" width="14.625" style="1" customWidth="1"/>
    <col min="16143" max="16143" width="8.5" style="1" customWidth="1"/>
    <col min="16144" max="16144" width="11" style="1"/>
    <col min="16145" max="16145" width="10.125" style="1" bestFit="1" customWidth="1"/>
    <col min="16146" max="16384" width="11" style="1"/>
  </cols>
  <sheetData>
    <row r="1" spans="1:15" ht="18" x14ac:dyDescent="0.2">
      <c r="A1" s="195" t="s">
        <v>0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</row>
    <row r="2" spans="1:15" ht="18" x14ac:dyDescent="0.25">
      <c r="A2" s="196" t="s">
        <v>1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</row>
    <row r="3" spans="1:15" ht="18" x14ac:dyDescent="0.25">
      <c r="A3" s="196" t="s">
        <v>117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</row>
    <row r="4" spans="1:15" ht="18.75" thickBot="1" x14ac:dyDescent="0.3">
      <c r="A4" s="2"/>
      <c r="B4" s="4"/>
      <c r="C4" s="4"/>
      <c r="D4" s="4"/>
      <c r="E4" s="6"/>
      <c r="F4" s="6"/>
      <c r="G4" s="4"/>
      <c r="H4" s="4"/>
      <c r="I4" s="4"/>
      <c r="J4" s="4"/>
      <c r="K4" s="4"/>
      <c r="L4" s="4"/>
      <c r="M4" s="5"/>
      <c r="N4" s="4"/>
      <c r="O4" s="3"/>
    </row>
    <row r="5" spans="1:15" ht="23.25" customHeight="1" x14ac:dyDescent="0.25">
      <c r="A5" s="47" t="s">
        <v>3</v>
      </c>
      <c r="B5" s="48" t="s">
        <v>4</v>
      </c>
      <c r="C5" s="49" t="s">
        <v>5</v>
      </c>
      <c r="D5" s="50" t="s">
        <v>6</v>
      </c>
      <c r="E5" s="51" t="s">
        <v>7</v>
      </c>
      <c r="F5" s="51" t="s">
        <v>8</v>
      </c>
      <c r="G5" s="49" t="s">
        <v>9</v>
      </c>
      <c r="H5" s="50" t="s">
        <v>10</v>
      </c>
      <c r="I5" s="51" t="s">
        <v>11</v>
      </c>
      <c r="J5" s="49" t="s">
        <v>12</v>
      </c>
      <c r="K5" s="50" t="s">
        <v>13</v>
      </c>
      <c r="L5" s="51" t="s">
        <v>14</v>
      </c>
      <c r="M5" s="52" t="s">
        <v>10</v>
      </c>
      <c r="N5" s="49" t="s">
        <v>15</v>
      </c>
      <c r="O5" s="53" t="s">
        <v>14</v>
      </c>
    </row>
    <row r="6" spans="1:15" ht="23.25" customHeight="1" thickBot="1" x14ac:dyDescent="0.3">
      <c r="A6" s="54"/>
      <c r="B6" s="55"/>
      <c r="C6" s="56" t="s">
        <v>16</v>
      </c>
      <c r="D6" s="57"/>
      <c r="E6" s="58"/>
      <c r="F6" s="58"/>
      <c r="G6" s="56" t="s">
        <v>8</v>
      </c>
      <c r="H6" s="57" t="s">
        <v>5</v>
      </c>
      <c r="I6" s="59" t="s">
        <v>17</v>
      </c>
      <c r="J6" s="56" t="s">
        <v>18</v>
      </c>
      <c r="K6" s="57" t="s">
        <v>19</v>
      </c>
      <c r="L6" s="59"/>
      <c r="M6" s="60" t="s">
        <v>19</v>
      </c>
      <c r="N6" s="56" t="s">
        <v>20</v>
      </c>
      <c r="O6" s="61"/>
    </row>
    <row r="7" spans="1:15" ht="15" x14ac:dyDescent="0.25">
      <c r="A7" s="7"/>
      <c r="B7" s="8"/>
      <c r="C7" s="9"/>
      <c r="D7" s="9"/>
      <c r="E7" s="10"/>
      <c r="F7" s="10"/>
      <c r="G7" s="9"/>
      <c r="H7" s="9"/>
      <c r="I7" s="11"/>
      <c r="J7" s="9"/>
      <c r="K7" s="9"/>
      <c r="L7" s="9"/>
      <c r="M7" s="12"/>
      <c r="N7" s="13"/>
      <c r="O7" s="14"/>
    </row>
    <row r="8" spans="1:15" s="77" customFormat="1" ht="27.75" customHeight="1" x14ac:dyDescent="0.2">
      <c r="A8" s="65" t="s">
        <v>21</v>
      </c>
      <c r="B8" s="76" t="s">
        <v>22</v>
      </c>
      <c r="C8" s="68">
        <f>C9+C10+C11+C12+C13+C14+C15+C16+C17</f>
        <v>647432879</v>
      </c>
      <c r="D8" s="68">
        <f>D9</f>
        <v>0</v>
      </c>
      <c r="E8" s="68">
        <f t="shared" ref="E8:K8" si="0">E9+E10+E11+E12+E13+E14+E15+E16+E17</f>
        <v>0</v>
      </c>
      <c r="F8" s="68">
        <f t="shared" si="0"/>
        <v>0</v>
      </c>
      <c r="G8" s="68">
        <f t="shared" si="0"/>
        <v>18900000</v>
      </c>
      <c r="H8" s="68">
        <f t="shared" si="0"/>
        <v>628532879</v>
      </c>
      <c r="I8" s="68">
        <f t="shared" si="0"/>
        <v>85117085</v>
      </c>
      <c r="J8" s="68">
        <f t="shared" si="0"/>
        <v>41219960</v>
      </c>
      <c r="K8" s="68">
        <f t="shared" si="0"/>
        <v>126337045</v>
      </c>
      <c r="L8" s="69">
        <f t="shared" ref="L8:L58" si="1">K8/H8</f>
        <v>0.20100308069961761</v>
      </c>
      <c r="M8" s="70">
        <f>M9+M10+M11+M12+M13+M14+M15+M16+M17</f>
        <v>126337045</v>
      </c>
      <c r="N8" s="68">
        <f>SUM(N9:N17)</f>
        <v>502195834</v>
      </c>
      <c r="O8" s="71">
        <f t="shared" ref="O8:O32" si="2">N8/H8</f>
        <v>0.79899691930038241</v>
      </c>
    </row>
    <row r="9" spans="1:15" ht="15" x14ac:dyDescent="0.25">
      <c r="A9" s="19" t="s">
        <v>23</v>
      </c>
      <c r="B9" s="20" t="s">
        <v>24</v>
      </c>
      <c r="C9" s="21">
        <v>491332879</v>
      </c>
      <c r="D9" s="22"/>
      <c r="E9" s="23"/>
      <c r="F9" s="36"/>
      <c r="G9" s="62">
        <v>18900000</v>
      </c>
      <c r="H9" s="21">
        <f>C9-D9+E9+F9-G9</f>
        <v>472432879</v>
      </c>
      <c r="I9" s="22">
        <f>ENERO!J9+FEBRERO!J9</f>
        <v>74976980</v>
      </c>
      <c r="J9" s="43">
        <v>36459454</v>
      </c>
      <c r="K9" s="21">
        <f>SUM(I9:J9)</f>
        <v>111436434</v>
      </c>
      <c r="L9" s="16">
        <f t="shared" si="1"/>
        <v>0.23587781239078409</v>
      </c>
      <c r="M9" s="25">
        <f t="shared" ref="M9:M57" si="3">J9+I9</f>
        <v>111436434</v>
      </c>
      <c r="N9" s="26">
        <f t="shared" ref="N9:N17" si="4">H9-K9</f>
        <v>360996445</v>
      </c>
      <c r="O9" s="18">
        <f t="shared" si="2"/>
        <v>0.76412218760921591</v>
      </c>
    </row>
    <row r="10" spans="1:15" ht="15" x14ac:dyDescent="0.25">
      <c r="A10" s="19" t="s">
        <v>25</v>
      </c>
      <c r="B10" s="20" t="s">
        <v>26</v>
      </c>
      <c r="C10" s="21">
        <v>0</v>
      </c>
      <c r="D10" s="22"/>
      <c r="E10" s="23"/>
      <c r="F10" s="36"/>
      <c r="G10" s="63"/>
      <c r="H10" s="21">
        <f t="shared" ref="H10:H21" si="5">C10-D10+E10+F10-G10</f>
        <v>0</v>
      </c>
      <c r="I10" s="22">
        <f>ENERO!J10+FEBRERO!J10</f>
        <v>0</v>
      </c>
      <c r="J10" s="22">
        <v>0</v>
      </c>
      <c r="K10" s="21">
        <f t="shared" ref="K10:K21" si="6">SUM(I10:J10)</f>
        <v>0</v>
      </c>
      <c r="L10" s="16">
        <v>0</v>
      </c>
      <c r="M10" s="25">
        <f t="shared" si="3"/>
        <v>0</v>
      </c>
      <c r="N10" s="26">
        <f t="shared" si="4"/>
        <v>0</v>
      </c>
      <c r="O10" s="18">
        <v>0</v>
      </c>
    </row>
    <row r="11" spans="1:15" ht="15" x14ac:dyDescent="0.25">
      <c r="A11" s="19" t="s">
        <v>27</v>
      </c>
      <c r="B11" s="20" t="s">
        <v>28</v>
      </c>
      <c r="C11" s="21">
        <v>2300000</v>
      </c>
      <c r="D11" s="22"/>
      <c r="E11" s="23"/>
      <c r="F11" s="36"/>
      <c r="G11" s="63"/>
      <c r="H11" s="21">
        <f t="shared" si="5"/>
        <v>2300000</v>
      </c>
      <c r="I11" s="22">
        <f>ENERO!J11+FEBRERO!J11</f>
        <v>155400</v>
      </c>
      <c r="J11" s="22">
        <v>77700</v>
      </c>
      <c r="K11" s="21">
        <f t="shared" si="6"/>
        <v>233100</v>
      </c>
      <c r="L11" s="16">
        <f t="shared" si="1"/>
        <v>0.10134782608695653</v>
      </c>
      <c r="M11" s="25">
        <f t="shared" si="3"/>
        <v>233100</v>
      </c>
      <c r="N11" s="26">
        <f t="shared" si="4"/>
        <v>2066900</v>
      </c>
      <c r="O11" s="18">
        <f t="shared" si="2"/>
        <v>0.89865217391304353</v>
      </c>
    </row>
    <row r="12" spans="1:15" ht="15.75" customHeight="1" x14ac:dyDescent="0.25">
      <c r="A12" s="19" t="s">
        <v>29</v>
      </c>
      <c r="B12" s="20" t="s">
        <v>30</v>
      </c>
      <c r="C12" s="21">
        <v>1800000</v>
      </c>
      <c r="D12" s="22"/>
      <c r="E12" s="23"/>
      <c r="F12" s="36"/>
      <c r="G12" s="63"/>
      <c r="H12" s="21">
        <f t="shared" si="5"/>
        <v>1800000</v>
      </c>
      <c r="I12" s="22">
        <f>ENERO!J12+FEBRERO!J12</f>
        <v>214536</v>
      </c>
      <c r="J12" s="22">
        <v>107268</v>
      </c>
      <c r="K12" s="21">
        <f t="shared" si="6"/>
        <v>321804</v>
      </c>
      <c r="L12" s="16">
        <f t="shared" si="1"/>
        <v>0.17877999999999999</v>
      </c>
      <c r="M12" s="25">
        <f t="shared" si="3"/>
        <v>321804</v>
      </c>
      <c r="N12" s="26">
        <f t="shared" si="4"/>
        <v>1478196</v>
      </c>
      <c r="O12" s="18">
        <f t="shared" si="2"/>
        <v>0.82121999999999995</v>
      </c>
    </row>
    <row r="13" spans="1:15" ht="15" x14ac:dyDescent="0.25">
      <c r="A13" s="19" t="s">
        <v>31</v>
      </c>
      <c r="B13" s="20" t="s">
        <v>32</v>
      </c>
      <c r="C13" s="21">
        <v>15000000</v>
      </c>
      <c r="D13" s="22"/>
      <c r="E13" s="23"/>
      <c r="F13" s="36"/>
      <c r="G13" s="63"/>
      <c r="H13" s="21">
        <f t="shared" si="5"/>
        <v>15000000</v>
      </c>
      <c r="I13" s="22">
        <f>ENERO!J13+FEBRERO!J13</f>
        <v>2361251</v>
      </c>
      <c r="J13" s="43">
        <v>0</v>
      </c>
      <c r="K13" s="21">
        <f t="shared" si="6"/>
        <v>2361251</v>
      </c>
      <c r="L13" s="16">
        <f t="shared" si="1"/>
        <v>0.15741673333333334</v>
      </c>
      <c r="M13" s="25">
        <f t="shared" si="3"/>
        <v>2361251</v>
      </c>
      <c r="N13" s="26">
        <f t="shared" si="4"/>
        <v>12638749</v>
      </c>
      <c r="O13" s="18">
        <f t="shared" si="2"/>
        <v>0.84258326666666672</v>
      </c>
    </row>
    <row r="14" spans="1:15" ht="15" x14ac:dyDescent="0.25">
      <c r="A14" s="19" t="s">
        <v>33</v>
      </c>
      <c r="B14" s="20" t="s">
        <v>34</v>
      </c>
      <c r="C14" s="21">
        <v>22000000</v>
      </c>
      <c r="D14" s="22"/>
      <c r="E14" s="23"/>
      <c r="F14" s="36"/>
      <c r="G14" s="63"/>
      <c r="H14" s="21">
        <f t="shared" si="5"/>
        <v>22000000</v>
      </c>
      <c r="I14" s="22">
        <f>ENERO!J14+FEBRERO!J14</f>
        <v>1381336</v>
      </c>
      <c r="J14" s="43">
        <v>0</v>
      </c>
      <c r="K14" s="21">
        <f t="shared" si="6"/>
        <v>1381336</v>
      </c>
      <c r="L14" s="16">
        <f t="shared" si="1"/>
        <v>6.2787999999999997E-2</v>
      </c>
      <c r="M14" s="25">
        <f t="shared" si="3"/>
        <v>1381336</v>
      </c>
      <c r="N14" s="26">
        <f t="shared" si="4"/>
        <v>20618664</v>
      </c>
      <c r="O14" s="18">
        <f t="shared" si="2"/>
        <v>0.93721200000000005</v>
      </c>
    </row>
    <row r="15" spans="1:15" ht="15" x14ac:dyDescent="0.25">
      <c r="A15" s="19" t="s">
        <v>35</v>
      </c>
      <c r="B15" s="20" t="s">
        <v>36</v>
      </c>
      <c r="C15" s="21">
        <v>33000000</v>
      </c>
      <c r="D15" s="22"/>
      <c r="E15" s="23"/>
      <c r="F15" s="36"/>
      <c r="G15" s="63"/>
      <c r="H15" s="21">
        <f t="shared" si="5"/>
        <v>33000000</v>
      </c>
      <c r="I15" s="22">
        <f>ENERO!J15+FEBRERO!J15</f>
        <v>2018225</v>
      </c>
      <c r="J15" s="43">
        <v>1419704</v>
      </c>
      <c r="K15" s="21">
        <f t="shared" si="6"/>
        <v>3437929</v>
      </c>
      <c r="L15" s="16">
        <f t="shared" si="1"/>
        <v>0.10417966666666667</v>
      </c>
      <c r="M15" s="25">
        <f t="shared" si="3"/>
        <v>3437929</v>
      </c>
      <c r="N15" s="26">
        <f t="shared" si="4"/>
        <v>29562071</v>
      </c>
      <c r="O15" s="18">
        <f t="shared" si="2"/>
        <v>0.89582033333333333</v>
      </c>
    </row>
    <row r="16" spans="1:15" ht="15" x14ac:dyDescent="0.25">
      <c r="A16" s="28">
        <v>2020110109</v>
      </c>
      <c r="B16" s="20" t="s">
        <v>37</v>
      </c>
      <c r="C16" s="21">
        <v>38000000</v>
      </c>
      <c r="D16" s="22"/>
      <c r="E16" s="23"/>
      <c r="F16" s="36"/>
      <c r="G16" s="63"/>
      <c r="H16" s="21">
        <f t="shared" si="5"/>
        <v>38000000</v>
      </c>
      <c r="I16" s="22">
        <f>ENERO!J16+FEBRERO!J16</f>
        <v>4009357</v>
      </c>
      <c r="J16" s="43">
        <v>2800908</v>
      </c>
      <c r="K16" s="21">
        <f>SUM(I16:J16)</f>
        <v>6810265</v>
      </c>
      <c r="L16" s="16">
        <f t="shared" si="1"/>
        <v>0.1792175</v>
      </c>
      <c r="M16" s="25">
        <f t="shared" si="3"/>
        <v>6810265</v>
      </c>
      <c r="N16" s="26">
        <f t="shared" si="4"/>
        <v>31189735</v>
      </c>
      <c r="O16" s="18">
        <f t="shared" si="2"/>
        <v>0.82078249999999997</v>
      </c>
    </row>
    <row r="17" spans="1:15" ht="15" x14ac:dyDescent="0.25">
      <c r="A17" s="28">
        <v>2020110108</v>
      </c>
      <c r="B17" s="20" t="s">
        <v>38</v>
      </c>
      <c r="C17" s="21">
        <v>44000000</v>
      </c>
      <c r="D17" s="22"/>
      <c r="E17" s="23"/>
      <c r="F17" s="36"/>
      <c r="G17" s="63"/>
      <c r="H17" s="21">
        <f t="shared" si="5"/>
        <v>44000000</v>
      </c>
      <c r="I17" s="22">
        <f>ENERO!J17+FEBRERO!J17</f>
        <v>0</v>
      </c>
      <c r="J17" s="43">
        <v>354926</v>
      </c>
      <c r="K17" s="21">
        <f t="shared" si="6"/>
        <v>354926</v>
      </c>
      <c r="L17" s="16">
        <f t="shared" si="1"/>
        <v>8.0665000000000008E-3</v>
      </c>
      <c r="M17" s="25">
        <f t="shared" si="3"/>
        <v>354926</v>
      </c>
      <c r="N17" s="26">
        <f t="shared" si="4"/>
        <v>43645074</v>
      </c>
      <c r="O17" s="18">
        <f t="shared" si="2"/>
        <v>0.99193350000000002</v>
      </c>
    </row>
    <row r="18" spans="1:15" s="72" customFormat="1" ht="27.75" customHeight="1" x14ac:dyDescent="0.2">
      <c r="A18" s="65" t="s">
        <v>39</v>
      </c>
      <c r="B18" s="76" t="s">
        <v>40</v>
      </c>
      <c r="C18" s="73">
        <f>C19+C20+C21</f>
        <v>20000000</v>
      </c>
      <c r="D18" s="74">
        <v>0</v>
      </c>
      <c r="E18" s="68">
        <f t="shared" ref="E18:K18" si="7">E19+E20+E21</f>
        <v>0</v>
      </c>
      <c r="F18" s="74">
        <f t="shared" si="7"/>
        <v>0</v>
      </c>
      <c r="G18" s="68">
        <f t="shared" si="7"/>
        <v>0</v>
      </c>
      <c r="H18" s="74">
        <f t="shared" si="5"/>
        <v>20000000</v>
      </c>
      <c r="I18" s="74">
        <f>ENERO!J18+FEBRERO!J18</f>
        <v>18000000</v>
      </c>
      <c r="J18" s="68">
        <f t="shared" si="7"/>
        <v>0</v>
      </c>
      <c r="K18" s="68">
        <f t="shared" si="7"/>
        <v>18000000</v>
      </c>
      <c r="L18" s="69">
        <f t="shared" si="1"/>
        <v>0.9</v>
      </c>
      <c r="M18" s="70">
        <f>M19+M20+M21</f>
        <v>18000000</v>
      </c>
      <c r="N18" s="75">
        <f>SUM(N19:N21)</f>
        <v>2000000</v>
      </c>
      <c r="O18" s="71">
        <f t="shared" si="2"/>
        <v>0.1</v>
      </c>
    </row>
    <row r="19" spans="1:15" ht="15" x14ac:dyDescent="0.25">
      <c r="A19" s="19" t="s">
        <v>41</v>
      </c>
      <c r="B19" s="30" t="s">
        <v>42</v>
      </c>
      <c r="C19" s="31">
        <v>20000000</v>
      </c>
      <c r="D19" s="22"/>
      <c r="E19" s="23"/>
      <c r="F19" s="36"/>
      <c r="G19" s="63"/>
      <c r="H19" s="21">
        <f t="shared" si="5"/>
        <v>20000000</v>
      </c>
      <c r="I19" s="22">
        <f>ENERO!J19+FEBRERO!J19</f>
        <v>18000000</v>
      </c>
      <c r="J19" s="22">
        <v>0</v>
      </c>
      <c r="K19" s="21">
        <f t="shared" si="6"/>
        <v>18000000</v>
      </c>
      <c r="L19" s="16">
        <f t="shared" si="1"/>
        <v>0.9</v>
      </c>
      <c r="M19" s="25">
        <f t="shared" si="3"/>
        <v>18000000</v>
      </c>
      <c r="N19" s="26">
        <f>H19-K19</f>
        <v>2000000</v>
      </c>
      <c r="O19" s="18">
        <f t="shared" si="2"/>
        <v>0.1</v>
      </c>
    </row>
    <row r="20" spans="1:15" ht="15" x14ac:dyDescent="0.25">
      <c r="A20" s="19" t="s">
        <v>43</v>
      </c>
      <c r="B20" s="20" t="s">
        <v>44</v>
      </c>
      <c r="C20" s="32">
        <v>0</v>
      </c>
      <c r="D20" s="22"/>
      <c r="E20" s="23"/>
      <c r="F20" s="36"/>
      <c r="G20" s="63"/>
      <c r="H20" s="21">
        <f t="shared" si="5"/>
        <v>0</v>
      </c>
      <c r="I20" s="22">
        <f>ENERO!J20+FEBRERO!J20</f>
        <v>0</v>
      </c>
      <c r="J20" s="22">
        <v>0</v>
      </c>
      <c r="K20" s="21">
        <f t="shared" si="6"/>
        <v>0</v>
      </c>
      <c r="L20" s="16">
        <v>0</v>
      </c>
      <c r="M20" s="25">
        <f t="shared" si="3"/>
        <v>0</v>
      </c>
      <c r="N20" s="26">
        <f>H20-K20</f>
        <v>0</v>
      </c>
      <c r="O20" s="18">
        <v>0</v>
      </c>
    </row>
    <row r="21" spans="1:15" ht="15" x14ac:dyDescent="0.25">
      <c r="A21" s="19" t="s">
        <v>45</v>
      </c>
      <c r="B21" s="33" t="s">
        <v>46</v>
      </c>
      <c r="C21" s="31">
        <v>0</v>
      </c>
      <c r="D21" s="22"/>
      <c r="E21" s="23"/>
      <c r="F21" s="36"/>
      <c r="G21" s="63"/>
      <c r="H21" s="21">
        <f t="shared" si="5"/>
        <v>0</v>
      </c>
      <c r="I21" s="22">
        <f>ENERO!J21+FEBRERO!J21</f>
        <v>0</v>
      </c>
      <c r="J21" s="27">
        <v>0</v>
      </c>
      <c r="K21" s="21">
        <f t="shared" si="6"/>
        <v>0</v>
      </c>
      <c r="L21" s="16">
        <v>0</v>
      </c>
      <c r="M21" s="25">
        <f t="shared" si="3"/>
        <v>0</v>
      </c>
      <c r="N21" s="26">
        <f>H21-K21</f>
        <v>0</v>
      </c>
      <c r="O21" s="18">
        <v>0</v>
      </c>
    </row>
    <row r="22" spans="1:15" s="72" customFormat="1" ht="27.75" customHeight="1" x14ac:dyDescent="0.2">
      <c r="A22" s="65" t="s">
        <v>47</v>
      </c>
      <c r="B22" s="66" t="s">
        <v>48</v>
      </c>
      <c r="C22" s="67">
        <f>C23+C24+C25+C26</f>
        <v>26200000</v>
      </c>
      <c r="D22" s="68">
        <v>0</v>
      </c>
      <c r="E22" s="68">
        <f t="shared" ref="E22:K22" si="8">E23+E24+E25+E26</f>
        <v>0</v>
      </c>
      <c r="F22" s="68">
        <f t="shared" si="8"/>
        <v>0</v>
      </c>
      <c r="G22" s="68">
        <f t="shared" si="8"/>
        <v>0</v>
      </c>
      <c r="H22" s="68">
        <f t="shared" si="8"/>
        <v>26200000</v>
      </c>
      <c r="I22" s="68">
        <f t="shared" si="8"/>
        <v>2499640</v>
      </c>
      <c r="J22" s="68">
        <f t="shared" si="8"/>
        <v>1100000</v>
      </c>
      <c r="K22" s="68">
        <f t="shared" si="8"/>
        <v>3599640</v>
      </c>
      <c r="L22" s="69">
        <f t="shared" si="1"/>
        <v>0.13739083969465649</v>
      </c>
      <c r="M22" s="70">
        <f t="shared" si="3"/>
        <v>3599640</v>
      </c>
      <c r="N22" s="68">
        <f>SUM(N23:N26)</f>
        <v>22600360</v>
      </c>
      <c r="O22" s="71">
        <f t="shared" si="2"/>
        <v>0.86260916030534351</v>
      </c>
    </row>
    <row r="23" spans="1:15" ht="15" x14ac:dyDescent="0.25">
      <c r="A23" s="19" t="s">
        <v>49</v>
      </c>
      <c r="B23" s="33" t="s">
        <v>50</v>
      </c>
      <c r="C23" s="31">
        <v>0</v>
      </c>
      <c r="D23" s="22"/>
      <c r="E23" s="23"/>
      <c r="F23" s="36"/>
      <c r="G23" s="63"/>
      <c r="H23" s="21">
        <f>C23-D23+E23+F23-G23</f>
        <v>0</v>
      </c>
      <c r="I23" s="22">
        <f>ENERO!J23+FEBRERO!J23</f>
        <v>0</v>
      </c>
      <c r="J23" s="27">
        <v>0</v>
      </c>
      <c r="K23" s="21">
        <f t="shared" ref="K23:K57" si="9">SUM(I23:J23)</f>
        <v>0</v>
      </c>
      <c r="L23" s="16">
        <v>0</v>
      </c>
      <c r="M23" s="17">
        <f t="shared" si="3"/>
        <v>0</v>
      </c>
      <c r="N23" s="26">
        <f>H23-K23</f>
        <v>0</v>
      </c>
      <c r="O23" s="18">
        <v>0</v>
      </c>
    </row>
    <row r="24" spans="1:15" ht="15" x14ac:dyDescent="0.25">
      <c r="A24" s="19" t="s">
        <v>51</v>
      </c>
      <c r="B24" s="34" t="s">
        <v>52</v>
      </c>
      <c r="C24" s="31">
        <v>25000000</v>
      </c>
      <c r="D24" s="22"/>
      <c r="E24" s="23"/>
      <c r="F24" s="36"/>
      <c r="G24" s="63"/>
      <c r="H24" s="21">
        <f>C24-D24+E24+F24-G24</f>
        <v>25000000</v>
      </c>
      <c r="I24" s="22">
        <f>ENERO!J24+FEBRERO!J24</f>
        <v>2499640</v>
      </c>
      <c r="J24" s="22">
        <v>1100000</v>
      </c>
      <c r="K24" s="21">
        <f t="shared" si="9"/>
        <v>3599640</v>
      </c>
      <c r="L24" s="16">
        <f t="shared" si="1"/>
        <v>0.14398559999999999</v>
      </c>
      <c r="M24" s="25">
        <f t="shared" si="3"/>
        <v>3599640</v>
      </c>
      <c r="N24" s="26">
        <f>H24-K24</f>
        <v>21400360</v>
      </c>
      <c r="O24" s="35">
        <f t="shared" si="2"/>
        <v>0.85601439999999995</v>
      </c>
    </row>
    <row r="25" spans="1:15" ht="15" x14ac:dyDescent="0.25">
      <c r="A25" s="19" t="s">
        <v>53</v>
      </c>
      <c r="B25" s="33" t="s">
        <v>54</v>
      </c>
      <c r="C25" s="32">
        <v>1200000</v>
      </c>
      <c r="D25" s="22"/>
      <c r="E25" s="23"/>
      <c r="F25" s="36"/>
      <c r="G25" s="64"/>
      <c r="H25" s="21">
        <f>C25-D25+E25+F25-G25</f>
        <v>1200000</v>
      </c>
      <c r="I25" s="22">
        <f>ENERO!J25+FEBRERO!J25</f>
        <v>0</v>
      </c>
      <c r="J25" s="22">
        <v>0</v>
      </c>
      <c r="K25" s="21">
        <f t="shared" si="9"/>
        <v>0</v>
      </c>
      <c r="L25" s="16">
        <f t="shared" si="1"/>
        <v>0</v>
      </c>
      <c r="M25" s="17">
        <f t="shared" si="3"/>
        <v>0</v>
      </c>
      <c r="N25" s="26">
        <f>H25-K25</f>
        <v>1200000</v>
      </c>
      <c r="O25" s="35">
        <f t="shared" si="2"/>
        <v>1</v>
      </c>
    </row>
    <row r="26" spans="1:15" ht="15" x14ac:dyDescent="0.25">
      <c r="A26" s="19" t="s">
        <v>55</v>
      </c>
      <c r="B26" s="33" t="s">
        <v>56</v>
      </c>
      <c r="C26" s="32">
        <v>0</v>
      </c>
      <c r="D26" s="22"/>
      <c r="E26" s="23"/>
      <c r="F26" s="36"/>
      <c r="G26" s="63"/>
      <c r="H26" s="21">
        <f>C26-D26+E26+F26-G26</f>
        <v>0</v>
      </c>
      <c r="I26" s="22">
        <f>ENERO!J26+FEBRERO!J26</f>
        <v>0</v>
      </c>
      <c r="J26" s="22">
        <v>0</v>
      </c>
      <c r="K26" s="21">
        <f t="shared" si="9"/>
        <v>0</v>
      </c>
      <c r="L26" s="16">
        <v>0</v>
      </c>
      <c r="M26" s="17">
        <f t="shared" si="3"/>
        <v>0</v>
      </c>
      <c r="N26" s="26">
        <f>H26-K26</f>
        <v>0</v>
      </c>
      <c r="O26" s="35">
        <v>0</v>
      </c>
    </row>
    <row r="27" spans="1:15" s="72" customFormat="1" ht="27.75" customHeight="1" x14ac:dyDescent="0.2">
      <c r="A27" s="65" t="s">
        <v>57</v>
      </c>
      <c r="B27" s="66" t="s">
        <v>58</v>
      </c>
      <c r="C27" s="73">
        <f>C28+C29+C30+C31+C32+C33+C34+C35+C36+C37+C38+C39+C40+C41</f>
        <v>119922165</v>
      </c>
      <c r="D27" s="74">
        <v>0</v>
      </c>
      <c r="E27" s="68">
        <f t="shared" ref="E27:J27" si="10">E28+E29+E30+E31+E32+E33+E34+E35+E36+E37+E38+E39+E40+E41</f>
        <v>0</v>
      </c>
      <c r="F27" s="74">
        <f t="shared" si="10"/>
        <v>32500000</v>
      </c>
      <c r="G27" s="68">
        <f t="shared" si="10"/>
        <v>13600000</v>
      </c>
      <c r="H27" s="68">
        <f t="shared" si="10"/>
        <v>138822165</v>
      </c>
      <c r="I27" s="68">
        <f t="shared" si="10"/>
        <v>41811602</v>
      </c>
      <c r="J27" s="68">
        <f t="shared" si="10"/>
        <v>28519736</v>
      </c>
      <c r="K27" s="68">
        <f>K28+K29+K30+K31+K32+K33+K34+K35+K36+K37+K38+K39+K40</f>
        <v>70331338</v>
      </c>
      <c r="L27" s="69">
        <f t="shared" si="1"/>
        <v>0.5066290242628041</v>
      </c>
      <c r="M27" s="70">
        <f>M28+M29+M30+M31+M32+M33+M34+M35+M36+M37+M38+M39+M40+M41</f>
        <v>70331338</v>
      </c>
      <c r="N27" s="75">
        <f>SUM(N28:N41)</f>
        <v>68490827</v>
      </c>
      <c r="O27" s="71">
        <f t="shared" si="2"/>
        <v>0.49337097573719585</v>
      </c>
    </row>
    <row r="28" spans="1:15" ht="15" x14ac:dyDescent="0.25">
      <c r="A28" s="19" t="s">
        <v>59</v>
      </c>
      <c r="B28" s="33" t="s">
        <v>60</v>
      </c>
      <c r="C28" s="31">
        <v>10000000</v>
      </c>
      <c r="D28" s="22"/>
      <c r="E28" s="23"/>
      <c r="F28" s="36">
        <v>2500000</v>
      </c>
      <c r="G28" s="63"/>
      <c r="H28" s="21">
        <f t="shared" ref="H28:H41" si="11">C28-D28+E28+F28-G28</f>
        <v>12500000</v>
      </c>
      <c r="I28" s="22">
        <f>ENERO!J28+FEBRERO!J28</f>
        <v>3133450</v>
      </c>
      <c r="J28" s="22">
        <v>7553441</v>
      </c>
      <c r="K28" s="21">
        <f t="shared" si="9"/>
        <v>10686891</v>
      </c>
      <c r="L28" s="16">
        <f t="shared" si="1"/>
        <v>0.85495127999999998</v>
      </c>
      <c r="M28" s="25">
        <f t="shared" si="3"/>
        <v>10686891</v>
      </c>
      <c r="N28" s="26">
        <f t="shared" ref="N28:N39" si="12">H28-K28</f>
        <v>1813109</v>
      </c>
      <c r="O28" s="35">
        <f t="shared" si="2"/>
        <v>0.14504871999999999</v>
      </c>
    </row>
    <row r="29" spans="1:15" ht="15" x14ac:dyDescent="0.25">
      <c r="A29" s="19" t="s">
        <v>61</v>
      </c>
      <c r="B29" s="33" t="s">
        <v>62</v>
      </c>
      <c r="C29" s="31">
        <v>25000000</v>
      </c>
      <c r="D29" s="22"/>
      <c r="E29" s="23"/>
      <c r="F29" s="36">
        <v>30000000</v>
      </c>
      <c r="G29" s="63"/>
      <c r="H29" s="21">
        <f t="shared" si="11"/>
        <v>55000000</v>
      </c>
      <c r="I29" s="22">
        <f>ENERO!J29+FEBRERO!J29</f>
        <v>28806199</v>
      </c>
      <c r="J29" s="22">
        <v>16790711</v>
      </c>
      <c r="K29" s="21">
        <f t="shared" si="9"/>
        <v>45596910</v>
      </c>
      <c r="L29" s="16">
        <f t="shared" si="1"/>
        <v>0.82903472727272731</v>
      </c>
      <c r="M29" s="25">
        <f t="shared" si="3"/>
        <v>45596910</v>
      </c>
      <c r="N29" s="26">
        <f t="shared" si="12"/>
        <v>9403090</v>
      </c>
      <c r="O29" s="35">
        <f t="shared" si="2"/>
        <v>0.17096527272727272</v>
      </c>
    </row>
    <row r="30" spans="1:15" ht="15" x14ac:dyDescent="0.25">
      <c r="A30" s="19" t="s">
        <v>63</v>
      </c>
      <c r="B30" s="33" t="s">
        <v>64</v>
      </c>
      <c r="C30" s="31">
        <v>4400000</v>
      </c>
      <c r="D30" s="22"/>
      <c r="E30" s="23"/>
      <c r="F30" s="36"/>
      <c r="G30" s="63"/>
      <c r="H30" s="21">
        <f t="shared" si="11"/>
        <v>4400000</v>
      </c>
      <c r="I30" s="22">
        <f>ENERO!J30+FEBRERO!J30</f>
        <v>646600</v>
      </c>
      <c r="J30" s="43">
        <v>391400</v>
      </c>
      <c r="K30" s="21">
        <f t="shared" si="9"/>
        <v>1038000</v>
      </c>
      <c r="L30" s="16">
        <f t="shared" si="1"/>
        <v>0.2359090909090909</v>
      </c>
      <c r="M30" s="25">
        <f t="shared" si="3"/>
        <v>1038000</v>
      </c>
      <c r="N30" s="26">
        <f t="shared" si="12"/>
        <v>3362000</v>
      </c>
      <c r="O30" s="35">
        <f t="shared" si="2"/>
        <v>0.76409090909090904</v>
      </c>
    </row>
    <row r="31" spans="1:15" ht="15" x14ac:dyDescent="0.25">
      <c r="A31" s="19" t="s">
        <v>65</v>
      </c>
      <c r="B31" s="33" t="s">
        <v>66</v>
      </c>
      <c r="C31" s="32">
        <v>10000000</v>
      </c>
      <c r="D31" s="22"/>
      <c r="E31" s="23"/>
      <c r="F31" s="36"/>
      <c r="G31" s="63"/>
      <c r="H31" s="21">
        <f t="shared" si="11"/>
        <v>10000000</v>
      </c>
      <c r="I31" s="22">
        <f>ENERO!J31+FEBRERO!J31</f>
        <v>0</v>
      </c>
      <c r="J31" s="43">
        <v>2766400</v>
      </c>
      <c r="K31" s="21">
        <f t="shared" si="9"/>
        <v>2766400</v>
      </c>
      <c r="L31" s="16">
        <f t="shared" si="1"/>
        <v>0.27664</v>
      </c>
      <c r="M31" s="25">
        <f t="shared" si="3"/>
        <v>2766400</v>
      </c>
      <c r="N31" s="26">
        <f t="shared" si="12"/>
        <v>7233600</v>
      </c>
      <c r="O31" s="18">
        <f t="shared" si="2"/>
        <v>0.72336</v>
      </c>
    </row>
    <row r="32" spans="1:15" ht="15" x14ac:dyDescent="0.25">
      <c r="A32" s="19" t="s">
        <v>67</v>
      </c>
      <c r="B32" s="33" t="s">
        <v>68</v>
      </c>
      <c r="C32" s="32">
        <v>4800000</v>
      </c>
      <c r="D32" s="22"/>
      <c r="E32" s="23"/>
      <c r="F32" s="36"/>
      <c r="G32" s="63"/>
      <c r="H32" s="21">
        <f t="shared" si="11"/>
        <v>4800000</v>
      </c>
      <c r="I32" s="22">
        <f>ENERO!J32+FEBRERO!J32</f>
        <v>873353</v>
      </c>
      <c r="J32" s="43">
        <v>713984</v>
      </c>
      <c r="K32" s="21">
        <f t="shared" si="9"/>
        <v>1587337</v>
      </c>
      <c r="L32" s="16">
        <f t="shared" si="1"/>
        <v>0.33069520833333332</v>
      </c>
      <c r="M32" s="25">
        <f t="shared" si="3"/>
        <v>1587337</v>
      </c>
      <c r="N32" s="26">
        <f t="shared" si="12"/>
        <v>3212663</v>
      </c>
      <c r="O32" s="18">
        <f t="shared" si="2"/>
        <v>0.66930479166666668</v>
      </c>
    </row>
    <row r="33" spans="1:17" ht="15" x14ac:dyDescent="0.25">
      <c r="A33" s="19" t="s">
        <v>69</v>
      </c>
      <c r="B33" s="33" t="s">
        <v>70</v>
      </c>
      <c r="C33" s="32">
        <v>3200000</v>
      </c>
      <c r="D33" s="22"/>
      <c r="E33" s="23"/>
      <c r="F33" s="36"/>
      <c r="G33" s="63"/>
      <c r="H33" s="21">
        <f t="shared" si="11"/>
        <v>3200000</v>
      </c>
      <c r="I33" s="22">
        <f>ENERO!J33+FEBRERO!J33</f>
        <v>0</v>
      </c>
      <c r="J33" s="27">
        <v>303800</v>
      </c>
      <c r="K33" s="21">
        <f t="shared" si="9"/>
        <v>303800</v>
      </c>
      <c r="L33" s="16">
        <f t="shared" si="1"/>
        <v>9.4937499999999994E-2</v>
      </c>
      <c r="M33" s="25">
        <f t="shared" si="3"/>
        <v>303800</v>
      </c>
      <c r="N33" s="26">
        <f t="shared" si="12"/>
        <v>2896200</v>
      </c>
      <c r="O33" s="18">
        <v>0</v>
      </c>
    </row>
    <row r="34" spans="1:17" ht="15" x14ac:dyDescent="0.25">
      <c r="A34" s="19" t="s">
        <v>71</v>
      </c>
      <c r="B34" s="34" t="s">
        <v>72</v>
      </c>
      <c r="C34" s="32">
        <v>3822165</v>
      </c>
      <c r="D34" s="22"/>
      <c r="E34" s="23"/>
      <c r="F34" s="36"/>
      <c r="G34" s="63"/>
      <c r="H34" s="21">
        <f t="shared" si="11"/>
        <v>3822165</v>
      </c>
      <c r="I34" s="22">
        <f>ENERO!J34+FEBRERO!J34</f>
        <v>0</v>
      </c>
      <c r="J34" s="22">
        <v>0</v>
      </c>
      <c r="K34" s="21">
        <f t="shared" si="9"/>
        <v>0</v>
      </c>
      <c r="L34" s="16">
        <f t="shared" si="1"/>
        <v>0</v>
      </c>
      <c r="M34" s="25">
        <f t="shared" si="3"/>
        <v>0</v>
      </c>
      <c r="N34" s="26">
        <f t="shared" si="12"/>
        <v>3822165</v>
      </c>
      <c r="O34" s="18">
        <f t="shared" ref="O34:O46" si="13">N34/H34</f>
        <v>1</v>
      </c>
    </row>
    <row r="35" spans="1:17" ht="15" x14ac:dyDescent="0.25">
      <c r="A35" s="19" t="s">
        <v>73</v>
      </c>
      <c r="B35" s="33" t="s">
        <v>74</v>
      </c>
      <c r="C35" s="32">
        <v>0</v>
      </c>
      <c r="D35" s="22"/>
      <c r="E35" s="23"/>
      <c r="F35" s="38"/>
      <c r="G35" s="63"/>
      <c r="H35" s="21">
        <f t="shared" si="11"/>
        <v>0</v>
      </c>
      <c r="I35" s="22">
        <f>ENERO!J35+FEBRERO!J35</f>
        <v>0</v>
      </c>
      <c r="J35" s="22">
        <v>0</v>
      </c>
      <c r="K35" s="21">
        <f t="shared" si="9"/>
        <v>0</v>
      </c>
      <c r="L35" s="16">
        <v>0</v>
      </c>
      <c r="M35" s="25">
        <f t="shared" si="3"/>
        <v>0</v>
      </c>
      <c r="N35" s="26">
        <f t="shared" si="12"/>
        <v>0</v>
      </c>
      <c r="O35" s="18">
        <v>0</v>
      </c>
    </row>
    <row r="36" spans="1:17" ht="15" x14ac:dyDescent="0.25">
      <c r="A36" s="19" t="s">
        <v>75</v>
      </c>
      <c r="B36" s="33" t="s">
        <v>76</v>
      </c>
      <c r="C36" s="32">
        <v>11000000</v>
      </c>
      <c r="D36" s="22"/>
      <c r="E36" s="23"/>
      <c r="F36" s="36"/>
      <c r="G36" s="63">
        <v>3600000</v>
      </c>
      <c r="H36" s="21">
        <f t="shared" si="11"/>
        <v>7400000</v>
      </c>
      <c r="I36" s="22">
        <f>ENERO!J36+FEBRERO!J36</f>
        <v>7400000</v>
      </c>
      <c r="J36" s="45">
        <v>0</v>
      </c>
      <c r="K36" s="21">
        <f t="shared" si="9"/>
        <v>7400000</v>
      </c>
      <c r="L36" s="16">
        <f t="shared" si="1"/>
        <v>1</v>
      </c>
      <c r="M36" s="25">
        <f t="shared" si="3"/>
        <v>7400000</v>
      </c>
      <c r="N36" s="26">
        <f t="shared" si="12"/>
        <v>0</v>
      </c>
      <c r="O36" s="18">
        <f t="shared" si="13"/>
        <v>0</v>
      </c>
    </row>
    <row r="37" spans="1:17" ht="15" x14ac:dyDescent="0.25">
      <c r="A37" s="19" t="s">
        <v>77</v>
      </c>
      <c r="B37" s="34" t="s">
        <v>78</v>
      </c>
      <c r="C37" s="32">
        <v>20700000</v>
      </c>
      <c r="D37" s="22"/>
      <c r="E37" s="23"/>
      <c r="F37" s="36"/>
      <c r="G37" s="63">
        <v>10000000</v>
      </c>
      <c r="H37" s="21">
        <f t="shared" si="11"/>
        <v>10700000</v>
      </c>
      <c r="I37" s="22">
        <f>ENERO!J37+FEBRERO!J37</f>
        <v>0</v>
      </c>
      <c r="J37" s="45">
        <v>0</v>
      </c>
      <c r="K37" s="21">
        <f t="shared" si="9"/>
        <v>0</v>
      </c>
      <c r="L37" s="16">
        <f t="shared" si="1"/>
        <v>0</v>
      </c>
      <c r="M37" s="25">
        <f t="shared" si="3"/>
        <v>0</v>
      </c>
      <c r="N37" s="26">
        <f t="shared" si="12"/>
        <v>10700000</v>
      </c>
      <c r="O37" s="35">
        <f t="shared" si="13"/>
        <v>1</v>
      </c>
    </row>
    <row r="38" spans="1:17" ht="15" x14ac:dyDescent="0.25">
      <c r="A38" s="19" t="s">
        <v>79</v>
      </c>
      <c r="B38" s="33" t="s">
        <v>80</v>
      </c>
      <c r="C38" s="32">
        <v>3000000</v>
      </c>
      <c r="D38" s="22"/>
      <c r="E38" s="23"/>
      <c r="F38" s="36"/>
      <c r="G38" s="63"/>
      <c r="H38" s="21">
        <f t="shared" si="11"/>
        <v>3000000</v>
      </c>
      <c r="I38" s="22">
        <f>ENERO!J38+FEBRERO!J38</f>
        <v>952000</v>
      </c>
      <c r="J38" s="45">
        <v>0</v>
      </c>
      <c r="K38" s="21">
        <f t="shared" si="9"/>
        <v>952000</v>
      </c>
      <c r="L38" s="16">
        <f t="shared" si="1"/>
        <v>0.31733333333333336</v>
      </c>
      <c r="M38" s="25">
        <f t="shared" si="3"/>
        <v>952000</v>
      </c>
      <c r="N38" s="26">
        <f t="shared" si="12"/>
        <v>2048000</v>
      </c>
      <c r="O38" s="35">
        <f t="shared" si="13"/>
        <v>0.68266666666666664</v>
      </c>
    </row>
    <row r="39" spans="1:17" ht="15" x14ac:dyDescent="0.25">
      <c r="A39" s="19" t="s">
        <v>81</v>
      </c>
      <c r="B39" s="33" t="s">
        <v>82</v>
      </c>
      <c r="C39" s="32">
        <v>20000000</v>
      </c>
      <c r="D39" s="22"/>
      <c r="E39" s="23"/>
      <c r="F39" s="36"/>
      <c r="G39" s="63"/>
      <c r="H39" s="21">
        <f t="shared" si="11"/>
        <v>20000000</v>
      </c>
      <c r="I39" s="22">
        <f>ENERO!J39+FEBRERO!J39</f>
        <v>0</v>
      </c>
      <c r="J39" s="22">
        <v>0</v>
      </c>
      <c r="K39" s="21">
        <f t="shared" si="9"/>
        <v>0</v>
      </c>
      <c r="L39" s="16">
        <f t="shared" si="1"/>
        <v>0</v>
      </c>
      <c r="M39" s="25">
        <f t="shared" si="3"/>
        <v>0</v>
      </c>
      <c r="N39" s="26">
        <f t="shared" si="12"/>
        <v>20000000</v>
      </c>
      <c r="O39" s="18">
        <f t="shared" si="13"/>
        <v>1</v>
      </c>
    </row>
    <row r="40" spans="1:17" ht="15" x14ac:dyDescent="0.25">
      <c r="A40" s="19" t="s">
        <v>83</v>
      </c>
      <c r="B40" s="33" t="s">
        <v>84</v>
      </c>
      <c r="C40" s="32">
        <v>4000000</v>
      </c>
      <c r="D40" s="22"/>
      <c r="E40" s="23"/>
      <c r="F40" s="36"/>
      <c r="G40" s="63"/>
      <c r="H40" s="21">
        <f t="shared" si="11"/>
        <v>4000000</v>
      </c>
      <c r="I40" s="22">
        <f>ENERO!J40+FEBRERO!J40</f>
        <v>0</v>
      </c>
      <c r="J40" s="22">
        <v>0</v>
      </c>
      <c r="K40" s="21">
        <f t="shared" si="9"/>
        <v>0</v>
      </c>
      <c r="L40" s="16">
        <f>K40/H40</f>
        <v>0</v>
      </c>
      <c r="M40" s="25">
        <f t="shared" si="3"/>
        <v>0</v>
      </c>
      <c r="N40" s="26">
        <f>H40-K40</f>
        <v>4000000</v>
      </c>
      <c r="O40" s="18">
        <f t="shared" si="13"/>
        <v>1</v>
      </c>
    </row>
    <row r="41" spans="1:17" ht="15" x14ac:dyDescent="0.25">
      <c r="A41" s="19" t="s">
        <v>85</v>
      </c>
      <c r="B41" s="33" t="s">
        <v>86</v>
      </c>
      <c r="C41" s="32">
        <v>0</v>
      </c>
      <c r="D41" s="22"/>
      <c r="E41" s="23"/>
      <c r="F41" s="36"/>
      <c r="G41" s="63"/>
      <c r="H41" s="21">
        <f t="shared" si="11"/>
        <v>0</v>
      </c>
      <c r="I41" s="22">
        <f>ENERO!J41+FEBRERO!J41</f>
        <v>0</v>
      </c>
      <c r="J41" s="22">
        <v>0</v>
      </c>
      <c r="K41" s="21">
        <f t="shared" si="9"/>
        <v>0</v>
      </c>
      <c r="L41" s="16">
        <v>0</v>
      </c>
      <c r="M41" s="25">
        <f t="shared" si="3"/>
        <v>0</v>
      </c>
      <c r="N41" s="26">
        <f>H41-K41</f>
        <v>0</v>
      </c>
      <c r="O41" s="18">
        <v>0</v>
      </c>
    </row>
    <row r="42" spans="1:17" s="72" customFormat="1" ht="27.75" customHeight="1" x14ac:dyDescent="0.2">
      <c r="A42" s="65" t="s">
        <v>87</v>
      </c>
      <c r="B42" s="82" t="s">
        <v>88</v>
      </c>
      <c r="C42" s="73">
        <f>C43+C44+C45+C46</f>
        <v>115800000</v>
      </c>
      <c r="D42" s="74">
        <v>0</v>
      </c>
      <c r="E42" s="68">
        <f t="shared" ref="E42:K42" si="14">E43+E44+E45+E46</f>
        <v>0</v>
      </c>
      <c r="F42" s="74">
        <f t="shared" si="14"/>
        <v>0</v>
      </c>
      <c r="G42" s="68">
        <f t="shared" si="14"/>
        <v>0</v>
      </c>
      <c r="H42" s="68">
        <f t="shared" si="14"/>
        <v>115800000</v>
      </c>
      <c r="I42" s="68">
        <f t="shared" si="14"/>
        <v>18079296</v>
      </c>
      <c r="J42" s="68">
        <f t="shared" si="14"/>
        <v>7972105</v>
      </c>
      <c r="K42" s="68">
        <f t="shared" si="14"/>
        <v>26051401</v>
      </c>
      <c r="L42" s="69">
        <f t="shared" si="1"/>
        <v>0.22496892055267703</v>
      </c>
      <c r="M42" s="70">
        <f t="shared" si="3"/>
        <v>26051401</v>
      </c>
      <c r="N42" s="75">
        <f>SUM(N43:N46)</f>
        <v>89748599</v>
      </c>
      <c r="O42" s="71">
        <f t="shared" si="13"/>
        <v>0.77503107944732297</v>
      </c>
    </row>
    <row r="43" spans="1:17" ht="15" x14ac:dyDescent="0.25">
      <c r="A43" s="19" t="s">
        <v>89</v>
      </c>
      <c r="B43" s="33" t="s">
        <v>90</v>
      </c>
      <c r="C43" s="21">
        <v>33000000</v>
      </c>
      <c r="D43" s="22"/>
      <c r="E43" s="23"/>
      <c r="F43" s="36"/>
      <c r="G43" s="63"/>
      <c r="H43" s="21">
        <f>C43-D43+E43+F43-G43</f>
        <v>33000000</v>
      </c>
      <c r="I43" s="22">
        <f>ENERO!J43+FEBRERO!J43</f>
        <v>1737384</v>
      </c>
      <c r="J43" s="44">
        <v>354926</v>
      </c>
      <c r="K43" s="21">
        <f t="shared" si="9"/>
        <v>2092310</v>
      </c>
      <c r="L43" s="16">
        <f t="shared" si="1"/>
        <v>6.3403333333333339E-2</v>
      </c>
      <c r="M43" s="25">
        <f t="shared" si="3"/>
        <v>2092310</v>
      </c>
      <c r="N43" s="26">
        <f>H43-K43</f>
        <v>30907690</v>
      </c>
      <c r="O43" s="18">
        <f t="shared" si="13"/>
        <v>0.93659666666666663</v>
      </c>
    </row>
    <row r="44" spans="1:17" ht="15" x14ac:dyDescent="0.25">
      <c r="A44" s="19" t="s">
        <v>91</v>
      </c>
      <c r="B44" s="33" t="s">
        <v>92</v>
      </c>
      <c r="C44" s="21">
        <v>38000000</v>
      </c>
      <c r="D44" s="22"/>
      <c r="E44" s="23"/>
      <c r="F44" s="36"/>
      <c r="G44" s="63"/>
      <c r="H44" s="21">
        <f>C44-D44+E44+F44-G44</f>
        <v>38000000</v>
      </c>
      <c r="I44" s="22">
        <f>ENERO!J44+FEBRERO!J44</f>
        <v>6946776</v>
      </c>
      <c r="J44" s="43">
        <v>3155853</v>
      </c>
      <c r="K44" s="21">
        <f t="shared" si="9"/>
        <v>10102629</v>
      </c>
      <c r="L44" s="16">
        <f t="shared" si="1"/>
        <v>0.26585865789473684</v>
      </c>
      <c r="M44" s="25">
        <f t="shared" si="3"/>
        <v>10102629</v>
      </c>
      <c r="N44" s="26">
        <f>H44-K44</f>
        <v>27897371</v>
      </c>
      <c r="O44" s="18">
        <f t="shared" si="13"/>
        <v>0.73414134210526316</v>
      </c>
      <c r="Q44" s="37"/>
    </row>
    <row r="45" spans="1:17" ht="15" x14ac:dyDescent="0.25">
      <c r="A45" s="28">
        <v>2020110304</v>
      </c>
      <c r="B45" s="33" t="s">
        <v>93</v>
      </c>
      <c r="C45" s="21">
        <v>36800000</v>
      </c>
      <c r="D45" s="22"/>
      <c r="E45" s="23"/>
      <c r="F45" s="36"/>
      <c r="G45" s="63"/>
      <c r="H45" s="21">
        <f>C45-D45+E45+F45-G45</f>
        <v>36800000</v>
      </c>
      <c r="I45" s="22">
        <f>ENERO!J45+FEBRERO!J45</f>
        <v>8831624</v>
      </c>
      <c r="J45" s="43">
        <v>4461326</v>
      </c>
      <c r="K45" s="21">
        <f t="shared" si="9"/>
        <v>13292950</v>
      </c>
      <c r="L45" s="16">
        <f t="shared" si="1"/>
        <v>0.36122146739130434</v>
      </c>
      <c r="M45" s="25">
        <f t="shared" si="3"/>
        <v>13292950</v>
      </c>
      <c r="N45" s="26">
        <f>H45-K45</f>
        <v>23507050</v>
      </c>
      <c r="O45" s="18">
        <f t="shared" si="13"/>
        <v>0.63877853260869566</v>
      </c>
      <c r="Q45" s="37"/>
    </row>
    <row r="46" spans="1:17" ht="15" x14ac:dyDescent="0.25">
      <c r="A46" s="28">
        <v>2020110305</v>
      </c>
      <c r="B46" s="33" t="s">
        <v>94</v>
      </c>
      <c r="C46" s="21">
        <v>8000000</v>
      </c>
      <c r="D46" s="15"/>
      <c r="E46" s="23"/>
      <c r="F46" s="36"/>
      <c r="G46" s="46"/>
      <c r="H46" s="21">
        <f>C46-D46+E46+F46-G46</f>
        <v>8000000</v>
      </c>
      <c r="I46" s="22">
        <f>ENERO!J46+FEBRERO!J46</f>
        <v>563512</v>
      </c>
      <c r="J46" s="21"/>
      <c r="K46" s="21">
        <f t="shared" si="9"/>
        <v>563512</v>
      </c>
      <c r="L46" s="16">
        <f t="shared" si="1"/>
        <v>7.0439000000000002E-2</v>
      </c>
      <c r="M46" s="25">
        <f t="shared" si="3"/>
        <v>563512</v>
      </c>
      <c r="N46" s="26">
        <f>H46-K46</f>
        <v>7436488</v>
      </c>
      <c r="O46" s="18">
        <f t="shared" si="13"/>
        <v>0.92956099999999997</v>
      </c>
      <c r="Q46" s="37"/>
    </row>
    <row r="47" spans="1:17" s="72" customFormat="1" ht="27.75" customHeight="1" x14ac:dyDescent="0.2">
      <c r="A47" s="65" t="s">
        <v>95</v>
      </c>
      <c r="B47" s="83" t="s">
        <v>96</v>
      </c>
      <c r="C47" s="73">
        <f>C48+C49+C50+C51+C52+C53+C54+C55+C56+C57</f>
        <v>100800000</v>
      </c>
      <c r="D47" s="74">
        <v>0</v>
      </c>
      <c r="E47" s="74">
        <f>E48</f>
        <v>0</v>
      </c>
      <c r="F47" s="68">
        <f>F48+F49+F50+F51+F52+F53+F54+F55+F56+F57</f>
        <v>0</v>
      </c>
      <c r="G47" s="74"/>
      <c r="H47" s="68">
        <f>H48+H49+H50+H51+H52+H53+H54+H55+H56+H57</f>
        <v>100800000</v>
      </c>
      <c r="I47" s="68">
        <f>I48+I49+I50+I51+I52+I53+I54+I55+I56+I57</f>
        <v>12047800</v>
      </c>
      <c r="J47" s="68">
        <f>J48+J49+J50+J51+J52+J53+J54+J55+J56+J57</f>
        <v>3651500</v>
      </c>
      <c r="K47" s="68">
        <f t="shared" si="9"/>
        <v>15699300</v>
      </c>
      <c r="L47" s="69">
        <f t="shared" si="1"/>
        <v>0.15574702380952382</v>
      </c>
      <c r="M47" s="70">
        <f t="shared" si="3"/>
        <v>15699300</v>
      </c>
      <c r="N47" s="75">
        <f>SUM(N48:N57)</f>
        <v>85100700</v>
      </c>
      <c r="O47" s="71">
        <f t="shared" ref="O47:O58" si="15">N47/H47</f>
        <v>0.84425297619047623</v>
      </c>
      <c r="Q47" s="79"/>
    </row>
    <row r="48" spans="1:17" ht="15" x14ac:dyDescent="0.25">
      <c r="A48" s="78" t="s">
        <v>97</v>
      </c>
      <c r="B48" s="33" t="s">
        <v>98</v>
      </c>
      <c r="C48" s="31">
        <v>21000000</v>
      </c>
      <c r="D48" s="22"/>
      <c r="E48" s="23"/>
      <c r="F48" s="36"/>
      <c r="G48" s="63"/>
      <c r="H48" s="21">
        <f t="shared" ref="H48:H57" si="16">C48-D48+E48+F48-G48</f>
        <v>21000000</v>
      </c>
      <c r="I48" s="22">
        <f>ENERO!J48+FEBRERO!J48</f>
        <v>4435100</v>
      </c>
      <c r="J48" s="27"/>
      <c r="K48" s="21">
        <f t="shared" si="9"/>
        <v>4435100</v>
      </c>
      <c r="L48" s="16">
        <f t="shared" si="1"/>
        <v>0.2111952380952381</v>
      </c>
      <c r="M48" s="25">
        <f t="shared" si="3"/>
        <v>4435100</v>
      </c>
      <c r="N48" s="26">
        <f t="shared" ref="N48:N57" si="17">H48-K48</f>
        <v>16564900</v>
      </c>
      <c r="O48" s="18">
        <f t="shared" si="15"/>
        <v>0.7888047619047619</v>
      </c>
      <c r="Q48" s="37"/>
    </row>
    <row r="49" spans="1:17" ht="15" x14ac:dyDescent="0.25">
      <c r="A49" s="19" t="s">
        <v>99</v>
      </c>
      <c r="B49" s="33" t="s">
        <v>92</v>
      </c>
      <c r="C49" s="31">
        <v>0</v>
      </c>
      <c r="D49" s="22"/>
      <c r="E49" s="23"/>
      <c r="F49" s="36"/>
      <c r="G49" s="63"/>
      <c r="H49" s="21">
        <f t="shared" si="16"/>
        <v>0</v>
      </c>
      <c r="I49" s="22">
        <f>ENERO!J49+FEBRERO!J49</f>
        <v>0</v>
      </c>
      <c r="J49" s="22"/>
      <c r="K49" s="21">
        <f t="shared" si="9"/>
        <v>0</v>
      </c>
      <c r="L49" s="16">
        <v>0</v>
      </c>
      <c r="M49" s="17">
        <f t="shared" si="3"/>
        <v>0</v>
      </c>
      <c r="N49" s="26">
        <f t="shared" si="17"/>
        <v>0</v>
      </c>
      <c r="O49" s="18">
        <v>0</v>
      </c>
      <c r="Q49" s="37"/>
    </row>
    <row r="50" spans="1:17" ht="15" x14ac:dyDescent="0.25">
      <c r="A50" s="19" t="s">
        <v>100</v>
      </c>
      <c r="B50" s="33" t="s">
        <v>101</v>
      </c>
      <c r="C50" s="31">
        <v>3000000</v>
      </c>
      <c r="D50" s="22"/>
      <c r="E50" s="23"/>
      <c r="F50" s="36"/>
      <c r="G50" s="63"/>
      <c r="H50" s="21">
        <f t="shared" si="16"/>
        <v>3000000</v>
      </c>
      <c r="I50" s="22">
        <f>ENERO!J50+FEBRERO!J50</f>
        <v>507600</v>
      </c>
      <c r="J50" s="43">
        <v>247200</v>
      </c>
      <c r="K50" s="21">
        <f t="shared" si="9"/>
        <v>754800</v>
      </c>
      <c r="L50" s="16">
        <f t="shared" si="1"/>
        <v>0.25159999999999999</v>
      </c>
      <c r="M50" s="25">
        <f t="shared" si="3"/>
        <v>754800</v>
      </c>
      <c r="N50" s="26">
        <f t="shared" si="17"/>
        <v>2245200</v>
      </c>
      <c r="O50" s="18">
        <f t="shared" si="15"/>
        <v>0.74839999999999995</v>
      </c>
      <c r="Q50" s="37"/>
    </row>
    <row r="51" spans="1:17" ht="15" x14ac:dyDescent="0.25">
      <c r="A51" s="19" t="s">
        <v>102</v>
      </c>
      <c r="B51" s="33" t="s">
        <v>93</v>
      </c>
      <c r="C51" s="32">
        <v>22000000</v>
      </c>
      <c r="D51" s="22"/>
      <c r="E51" s="23"/>
      <c r="F51" s="36"/>
      <c r="G51" s="63"/>
      <c r="H51" s="21">
        <f t="shared" si="16"/>
        <v>22000000</v>
      </c>
      <c r="I51" s="22">
        <f>ENERO!J51+FEBRERO!J51</f>
        <v>0</v>
      </c>
      <c r="J51" s="39">
        <v>0</v>
      </c>
      <c r="K51" s="21">
        <f t="shared" si="9"/>
        <v>0</v>
      </c>
      <c r="L51" s="16">
        <f t="shared" si="1"/>
        <v>0</v>
      </c>
      <c r="M51" s="25">
        <f t="shared" si="3"/>
        <v>0</v>
      </c>
      <c r="N51" s="26">
        <f t="shared" si="17"/>
        <v>22000000</v>
      </c>
      <c r="O51" s="18">
        <f t="shared" si="15"/>
        <v>1</v>
      </c>
      <c r="Q51" s="37"/>
    </row>
    <row r="52" spans="1:17" ht="15" x14ac:dyDescent="0.25">
      <c r="A52" s="19" t="s">
        <v>103</v>
      </c>
      <c r="B52" s="33" t="s">
        <v>104</v>
      </c>
      <c r="C52" s="32">
        <v>23000000</v>
      </c>
      <c r="D52" s="22"/>
      <c r="E52" s="23"/>
      <c r="F52" s="36"/>
      <c r="G52" s="63"/>
      <c r="H52" s="21">
        <f t="shared" si="16"/>
        <v>23000000</v>
      </c>
      <c r="I52" s="22">
        <f>ENERO!J52+FEBRERO!J52</f>
        <v>3176800</v>
      </c>
      <c r="J52" s="43">
        <v>1524000</v>
      </c>
      <c r="K52" s="21">
        <f t="shared" si="9"/>
        <v>4700800</v>
      </c>
      <c r="L52" s="16">
        <f t="shared" si="1"/>
        <v>0.20438260869565217</v>
      </c>
      <c r="M52" s="25">
        <f t="shared" si="3"/>
        <v>4700800</v>
      </c>
      <c r="N52" s="26">
        <f t="shared" si="17"/>
        <v>18299200</v>
      </c>
      <c r="O52" s="18">
        <f t="shared" si="15"/>
        <v>0.79561739130434783</v>
      </c>
      <c r="Q52" s="37"/>
    </row>
    <row r="53" spans="1:17" ht="15" x14ac:dyDescent="0.25">
      <c r="A53" s="19" t="s">
        <v>105</v>
      </c>
      <c r="B53" s="33" t="s">
        <v>106</v>
      </c>
      <c r="C53" s="32">
        <v>19800000</v>
      </c>
      <c r="D53" s="22"/>
      <c r="E53" s="23"/>
      <c r="F53" s="36"/>
      <c r="G53" s="63"/>
      <c r="H53" s="21">
        <f t="shared" si="16"/>
        <v>19800000</v>
      </c>
      <c r="I53" s="22">
        <f>ENERO!J53+FEBRERO!J53</f>
        <v>2382000</v>
      </c>
      <c r="J53" s="43">
        <v>1143500</v>
      </c>
      <c r="K53" s="21">
        <f t="shared" si="9"/>
        <v>3525500</v>
      </c>
      <c r="L53" s="16">
        <f t="shared" si="1"/>
        <v>0.17805555555555555</v>
      </c>
      <c r="M53" s="25">
        <f t="shared" si="3"/>
        <v>3525500</v>
      </c>
      <c r="N53" s="26">
        <f t="shared" si="17"/>
        <v>16274500</v>
      </c>
      <c r="O53" s="18">
        <f t="shared" si="15"/>
        <v>0.82194444444444448</v>
      </c>
      <c r="Q53" s="37"/>
    </row>
    <row r="54" spans="1:17" ht="15" x14ac:dyDescent="0.25">
      <c r="A54" s="19" t="s">
        <v>107</v>
      </c>
      <c r="B54" s="33" t="s">
        <v>108</v>
      </c>
      <c r="C54" s="32">
        <v>3000000</v>
      </c>
      <c r="D54" s="22"/>
      <c r="E54" s="23"/>
      <c r="F54" s="36"/>
      <c r="G54" s="63"/>
      <c r="H54" s="21">
        <f t="shared" si="16"/>
        <v>3000000</v>
      </c>
      <c r="I54" s="22">
        <f>ENERO!J54+FEBRERO!J54</f>
        <v>386700</v>
      </c>
      <c r="J54" s="43">
        <v>182100</v>
      </c>
      <c r="K54" s="21">
        <f t="shared" si="9"/>
        <v>568800</v>
      </c>
      <c r="L54" s="16">
        <f t="shared" si="1"/>
        <v>0.18959999999999999</v>
      </c>
      <c r="M54" s="25">
        <f t="shared" si="3"/>
        <v>568800</v>
      </c>
      <c r="N54" s="26">
        <f t="shared" si="17"/>
        <v>2431200</v>
      </c>
      <c r="O54" s="18">
        <f t="shared" si="15"/>
        <v>0.81040000000000001</v>
      </c>
      <c r="Q54" s="37"/>
    </row>
    <row r="55" spans="1:17" ht="15" x14ac:dyDescent="0.25">
      <c r="A55" s="19" t="s">
        <v>109</v>
      </c>
      <c r="B55" s="33" t="s">
        <v>110</v>
      </c>
      <c r="C55" s="32">
        <v>3000000</v>
      </c>
      <c r="D55" s="22"/>
      <c r="E55" s="23"/>
      <c r="F55" s="36"/>
      <c r="G55" s="63"/>
      <c r="H55" s="21">
        <f t="shared" si="16"/>
        <v>3000000</v>
      </c>
      <c r="I55" s="22">
        <f>ENERO!J55+FEBRERO!J55</f>
        <v>386700</v>
      </c>
      <c r="J55" s="43">
        <v>191100</v>
      </c>
      <c r="K55" s="21">
        <f t="shared" si="9"/>
        <v>577800</v>
      </c>
      <c r="L55" s="16">
        <f t="shared" si="1"/>
        <v>0.19259999999999999</v>
      </c>
      <c r="M55" s="25">
        <f t="shared" si="3"/>
        <v>577800</v>
      </c>
      <c r="N55" s="26">
        <f t="shared" si="17"/>
        <v>2422200</v>
      </c>
      <c r="O55" s="18">
        <f t="shared" si="15"/>
        <v>0.80740000000000001</v>
      </c>
      <c r="Q55" s="37"/>
    </row>
    <row r="56" spans="1:17" ht="15" x14ac:dyDescent="0.25">
      <c r="A56" s="19" t="s">
        <v>111</v>
      </c>
      <c r="B56" s="33" t="s">
        <v>112</v>
      </c>
      <c r="C56" s="32">
        <v>6000000</v>
      </c>
      <c r="D56" s="22"/>
      <c r="E56" s="23"/>
      <c r="F56" s="36"/>
      <c r="G56" s="63"/>
      <c r="H56" s="21">
        <f t="shared" si="16"/>
        <v>6000000</v>
      </c>
      <c r="I56" s="22">
        <f>ENERO!J56+FEBRERO!J56</f>
        <v>772900</v>
      </c>
      <c r="J56" s="43">
        <v>363600</v>
      </c>
      <c r="K56" s="21">
        <f t="shared" si="9"/>
        <v>1136500</v>
      </c>
      <c r="L56" s="16">
        <f t="shared" si="1"/>
        <v>0.18941666666666668</v>
      </c>
      <c r="M56" s="25">
        <f t="shared" si="3"/>
        <v>1136500</v>
      </c>
      <c r="N56" s="26">
        <f t="shared" si="17"/>
        <v>4863500</v>
      </c>
      <c r="O56" s="18">
        <f t="shared" si="15"/>
        <v>0.81058333333333332</v>
      </c>
      <c r="Q56" s="37"/>
    </row>
    <row r="57" spans="1:17" ht="15" x14ac:dyDescent="0.25">
      <c r="A57" s="19" t="s">
        <v>113</v>
      </c>
      <c r="B57" s="33" t="s">
        <v>114</v>
      </c>
      <c r="C57" s="32"/>
      <c r="D57" s="22"/>
      <c r="E57" s="23"/>
      <c r="F57" s="36"/>
      <c r="G57" s="63"/>
      <c r="H57" s="21">
        <f t="shared" si="16"/>
        <v>0</v>
      </c>
      <c r="I57" s="22">
        <f>ENERO!J57+FEBRERO!J57</f>
        <v>0</v>
      </c>
      <c r="J57" s="22">
        <v>0</v>
      </c>
      <c r="K57" s="21">
        <f t="shared" si="9"/>
        <v>0</v>
      </c>
      <c r="L57" s="16">
        <v>0</v>
      </c>
      <c r="M57" s="17">
        <f t="shared" si="3"/>
        <v>0</v>
      </c>
      <c r="N57" s="26">
        <f t="shared" si="17"/>
        <v>0</v>
      </c>
      <c r="O57" s="18">
        <v>0</v>
      </c>
      <c r="Q57" s="37"/>
    </row>
    <row r="58" spans="1:17" s="80" customFormat="1" ht="31.5" customHeight="1" thickBot="1" x14ac:dyDescent="0.25">
      <c r="A58" s="81"/>
      <c r="B58" s="166" t="s">
        <v>115</v>
      </c>
      <c r="C58" s="171">
        <f>C47+C42+C27+C18+C22+C8</f>
        <v>1030155044</v>
      </c>
      <c r="D58" s="167">
        <f>D9+D47</f>
        <v>0</v>
      </c>
      <c r="E58" s="167">
        <f>E8+E18+E22+E27+E42</f>
        <v>0</v>
      </c>
      <c r="F58" s="167">
        <f>F47+F42+F27+F22+F18+F8</f>
        <v>32500000</v>
      </c>
      <c r="G58" s="167">
        <f>G47+G42+G27+G22+G18+G8</f>
        <v>32500000</v>
      </c>
      <c r="H58" s="167">
        <f>H8+H18+H22+H27+H42+H47</f>
        <v>1030155044</v>
      </c>
      <c r="I58" s="167">
        <f>I47+I42+I27+I22+I18+I8</f>
        <v>177555423</v>
      </c>
      <c r="J58" s="167">
        <f>J47+J42+J27+J22+J18+J8</f>
        <v>82463301</v>
      </c>
      <c r="K58" s="167">
        <f>K47+K42+K27+K22+K18+K8</f>
        <v>260018724</v>
      </c>
      <c r="L58" s="168">
        <f t="shared" si="1"/>
        <v>0.25240736869119285</v>
      </c>
      <c r="M58" s="169">
        <f>M47+M42+M27+M22+M18+M8</f>
        <v>260018724</v>
      </c>
      <c r="N58" s="167">
        <f>N47+N42+N27+N22+N18+N8</f>
        <v>770136320</v>
      </c>
      <c r="O58" s="170">
        <f t="shared" si="15"/>
        <v>0.74759263130880715</v>
      </c>
    </row>
    <row r="59" spans="1:17" ht="35.25" customHeight="1" thickBot="1" x14ac:dyDescent="0.3">
      <c r="A59" s="165" t="s">
        <v>118</v>
      </c>
      <c r="B59" s="192" t="s">
        <v>119</v>
      </c>
      <c r="C59" s="193"/>
      <c r="D59" s="193"/>
      <c r="E59" s="193"/>
      <c r="F59" s="193"/>
      <c r="G59" s="193"/>
      <c r="H59" s="193"/>
      <c r="I59" s="193"/>
      <c r="J59" s="193"/>
      <c r="K59" s="193"/>
      <c r="L59" s="193"/>
      <c r="M59" s="193"/>
      <c r="N59" s="193"/>
      <c r="O59" s="194"/>
      <c r="Q59" s="40"/>
    </row>
    <row r="60" spans="1:17" x14ac:dyDescent="0.2">
      <c r="K60" s="40"/>
    </row>
    <row r="61" spans="1:17" x14ac:dyDescent="0.2">
      <c r="G61" s="40"/>
    </row>
    <row r="62" spans="1:17" x14ac:dyDescent="0.2">
      <c r="D62" s="40"/>
      <c r="F62" s="40"/>
      <c r="G62" s="40"/>
      <c r="K62" s="40"/>
      <c r="N62" s="40"/>
    </row>
    <row r="63" spans="1:17" x14ac:dyDescent="0.2">
      <c r="G63" s="40"/>
      <c r="I63" s="40"/>
      <c r="J63" s="42"/>
      <c r="N63" s="40"/>
    </row>
    <row r="64" spans="1:17" x14ac:dyDescent="0.2">
      <c r="D64" s="40"/>
      <c r="J64" s="40"/>
      <c r="L64" s="40"/>
      <c r="N64" s="40"/>
    </row>
    <row r="65" spans="8:14" x14ac:dyDescent="0.2">
      <c r="H65" s="40"/>
      <c r="J65" s="40"/>
      <c r="N65" s="40"/>
    </row>
    <row r="66" spans="8:14" x14ac:dyDescent="0.2">
      <c r="J66" s="40"/>
    </row>
  </sheetData>
  <mergeCells count="4">
    <mergeCell ref="A1:O1"/>
    <mergeCell ref="A2:O2"/>
    <mergeCell ref="A3:O3"/>
    <mergeCell ref="B59:O59"/>
  </mergeCells>
  <printOptions horizontalCentered="1" verticalCentered="1"/>
  <pageMargins left="0.25" right="0.25" top="0.39370078740157499" bottom="0.98425196850393704" header="0" footer="0"/>
  <pageSetup paperSize="14" scale="52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6"/>
  <sheetViews>
    <sheetView showGridLines="0" zoomScale="80" zoomScaleNormal="80" workbookViewId="0">
      <pane xSplit="2" ySplit="7" topLeftCell="C38" activePane="bottomRight" state="frozen"/>
      <selection pane="topRight" activeCell="C1" sqref="C1"/>
      <selection pane="bottomLeft" activeCell="A8" sqref="A8"/>
      <selection pane="bottomRight" activeCell="J48" sqref="J48:J57"/>
    </sheetView>
  </sheetViews>
  <sheetFormatPr baseColWidth="10" defaultRowHeight="14.25" x14ac:dyDescent="0.2"/>
  <cols>
    <col min="1" max="1" width="16" style="1" customWidth="1"/>
    <col min="2" max="2" width="45.875" style="1" customWidth="1"/>
    <col min="3" max="3" width="19.5" style="1" customWidth="1"/>
    <col min="4" max="4" width="14.625" style="1" customWidth="1"/>
    <col min="5" max="7" width="14.625" style="148" customWidth="1"/>
    <col min="8" max="8" width="17.75" style="1" bestFit="1" customWidth="1"/>
    <col min="9" max="9" width="15.375" style="1" customWidth="1"/>
    <col min="10" max="10" width="14.625" style="1" customWidth="1"/>
    <col min="11" max="11" width="14.625" style="1" hidden="1" customWidth="1"/>
    <col min="12" max="12" width="7.875" style="1" customWidth="1"/>
    <col min="13" max="13" width="17.375" style="41" customWidth="1"/>
    <col min="14" max="14" width="14.625" style="1" customWidth="1"/>
    <col min="15" max="15" width="8.5" style="1" customWidth="1"/>
    <col min="16" max="16" width="11" style="1"/>
    <col min="17" max="17" width="10.125" style="1" bestFit="1" customWidth="1"/>
    <col min="18" max="256" width="11" style="1"/>
    <col min="257" max="257" width="16" style="1" customWidth="1"/>
    <col min="258" max="258" width="49.625" style="1" customWidth="1"/>
    <col min="259" max="259" width="15.25" style="1" customWidth="1"/>
    <col min="260" max="266" width="14.625" style="1" customWidth="1"/>
    <col min="267" max="267" width="0" style="1" hidden="1" customWidth="1"/>
    <col min="268" max="268" width="7.875" style="1" customWidth="1"/>
    <col min="269" max="269" width="17.375" style="1" customWidth="1"/>
    <col min="270" max="270" width="14.625" style="1" customWidth="1"/>
    <col min="271" max="271" width="8.5" style="1" customWidth="1"/>
    <col min="272" max="272" width="11" style="1"/>
    <col min="273" max="273" width="10.125" style="1" bestFit="1" customWidth="1"/>
    <col min="274" max="512" width="11" style="1"/>
    <col min="513" max="513" width="16" style="1" customWidth="1"/>
    <col min="514" max="514" width="49.625" style="1" customWidth="1"/>
    <col min="515" max="515" width="15.25" style="1" customWidth="1"/>
    <col min="516" max="522" width="14.625" style="1" customWidth="1"/>
    <col min="523" max="523" width="0" style="1" hidden="1" customWidth="1"/>
    <col min="524" max="524" width="7.875" style="1" customWidth="1"/>
    <col min="525" max="525" width="17.375" style="1" customWidth="1"/>
    <col min="526" max="526" width="14.625" style="1" customWidth="1"/>
    <col min="527" max="527" width="8.5" style="1" customWidth="1"/>
    <col min="528" max="528" width="11" style="1"/>
    <col min="529" max="529" width="10.125" style="1" bestFit="1" customWidth="1"/>
    <col min="530" max="768" width="11" style="1"/>
    <col min="769" max="769" width="16" style="1" customWidth="1"/>
    <col min="770" max="770" width="49.625" style="1" customWidth="1"/>
    <col min="771" max="771" width="15.25" style="1" customWidth="1"/>
    <col min="772" max="778" width="14.625" style="1" customWidth="1"/>
    <col min="779" max="779" width="0" style="1" hidden="1" customWidth="1"/>
    <col min="780" max="780" width="7.875" style="1" customWidth="1"/>
    <col min="781" max="781" width="17.375" style="1" customWidth="1"/>
    <col min="782" max="782" width="14.625" style="1" customWidth="1"/>
    <col min="783" max="783" width="8.5" style="1" customWidth="1"/>
    <col min="784" max="784" width="11" style="1"/>
    <col min="785" max="785" width="10.125" style="1" bestFit="1" customWidth="1"/>
    <col min="786" max="1024" width="11" style="1"/>
    <col min="1025" max="1025" width="16" style="1" customWidth="1"/>
    <col min="1026" max="1026" width="49.625" style="1" customWidth="1"/>
    <col min="1027" max="1027" width="15.25" style="1" customWidth="1"/>
    <col min="1028" max="1034" width="14.625" style="1" customWidth="1"/>
    <col min="1035" max="1035" width="0" style="1" hidden="1" customWidth="1"/>
    <col min="1036" max="1036" width="7.875" style="1" customWidth="1"/>
    <col min="1037" max="1037" width="17.375" style="1" customWidth="1"/>
    <col min="1038" max="1038" width="14.625" style="1" customWidth="1"/>
    <col min="1039" max="1039" width="8.5" style="1" customWidth="1"/>
    <col min="1040" max="1040" width="11" style="1"/>
    <col min="1041" max="1041" width="10.125" style="1" bestFit="1" customWidth="1"/>
    <col min="1042" max="1280" width="11" style="1"/>
    <col min="1281" max="1281" width="16" style="1" customWidth="1"/>
    <col min="1282" max="1282" width="49.625" style="1" customWidth="1"/>
    <col min="1283" max="1283" width="15.25" style="1" customWidth="1"/>
    <col min="1284" max="1290" width="14.625" style="1" customWidth="1"/>
    <col min="1291" max="1291" width="0" style="1" hidden="1" customWidth="1"/>
    <col min="1292" max="1292" width="7.875" style="1" customWidth="1"/>
    <col min="1293" max="1293" width="17.375" style="1" customWidth="1"/>
    <col min="1294" max="1294" width="14.625" style="1" customWidth="1"/>
    <col min="1295" max="1295" width="8.5" style="1" customWidth="1"/>
    <col min="1296" max="1296" width="11" style="1"/>
    <col min="1297" max="1297" width="10.125" style="1" bestFit="1" customWidth="1"/>
    <col min="1298" max="1536" width="11" style="1"/>
    <col min="1537" max="1537" width="16" style="1" customWidth="1"/>
    <col min="1538" max="1538" width="49.625" style="1" customWidth="1"/>
    <col min="1539" max="1539" width="15.25" style="1" customWidth="1"/>
    <col min="1540" max="1546" width="14.625" style="1" customWidth="1"/>
    <col min="1547" max="1547" width="0" style="1" hidden="1" customWidth="1"/>
    <col min="1548" max="1548" width="7.875" style="1" customWidth="1"/>
    <col min="1549" max="1549" width="17.375" style="1" customWidth="1"/>
    <col min="1550" max="1550" width="14.625" style="1" customWidth="1"/>
    <col min="1551" max="1551" width="8.5" style="1" customWidth="1"/>
    <col min="1552" max="1552" width="11" style="1"/>
    <col min="1553" max="1553" width="10.125" style="1" bestFit="1" customWidth="1"/>
    <col min="1554" max="1792" width="11" style="1"/>
    <col min="1793" max="1793" width="16" style="1" customWidth="1"/>
    <col min="1794" max="1794" width="49.625" style="1" customWidth="1"/>
    <col min="1795" max="1795" width="15.25" style="1" customWidth="1"/>
    <col min="1796" max="1802" width="14.625" style="1" customWidth="1"/>
    <col min="1803" max="1803" width="0" style="1" hidden="1" customWidth="1"/>
    <col min="1804" max="1804" width="7.875" style="1" customWidth="1"/>
    <col min="1805" max="1805" width="17.375" style="1" customWidth="1"/>
    <col min="1806" max="1806" width="14.625" style="1" customWidth="1"/>
    <col min="1807" max="1807" width="8.5" style="1" customWidth="1"/>
    <col min="1808" max="1808" width="11" style="1"/>
    <col min="1809" max="1809" width="10.125" style="1" bestFit="1" customWidth="1"/>
    <col min="1810" max="2048" width="11" style="1"/>
    <col min="2049" max="2049" width="16" style="1" customWidth="1"/>
    <col min="2050" max="2050" width="49.625" style="1" customWidth="1"/>
    <col min="2051" max="2051" width="15.25" style="1" customWidth="1"/>
    <col min="2052" max="2058" width="14.625" style="1" customWidth="1"/>
    <col min="2059" max="2059" width="0" style="1" hidden="1" customWidth="1"/>
    <col min="2060" max="2060" width="7.875" style="1" customWidth="1"/>
    <col min="2061" max="2061" width="17.375" style="1" customWidth="1"/>
    <col min="2062" max="2062" width="14.625" style="1" customWidth="1"/>
    <col min="2063" max="2063" width="8.5" style="1" customWidth="1"/>
    <col min="2064" max="2064" width="11" style="1"/>
    <col min="2065" max="2065" width="10.125" style="1" bestFit="1" customWidth="1"/>
    <col min="2066" max="2304" width="11" style="1"/>
    <col min="2305" max="2305" width="16" style="1" customWidth="1"/>
    <col min="2306" max="2306" width="49.625" style="1" customWidth="1"/>
    <col min="2307" max="2307" width="15.25" style="1" customWidth="1"/>
    <col min="2308" max="2314" width="14.625" style="1" customWidth="1"/>
    <col min="2315" max="2315" width="0" style="1" hidden="1" customWidth="1"/>
    <col min="2316" max="2316" width="7.875" style="1" customWidth="1"/>
    <col min="2317" max="2317" width="17.375" style="1" customWidth="1"/>
    <col min="2318" max="2318" width="14.625" style="1" customWidth="1"/>
    <col min="2319" max="2319" width="8.5" style="1" customWidth="1"/>
    <col min="2320" max="2320" width="11" style="1"/>
    <col min="2321" max="2321" width="10.125" style="1" bestFit="1" customWidth="1"/>
    <col min="2322" max="2560" width="11" style="1"/>
    <col min="2561" max="2561" width="16" style="1" customWidth="1"/>
    <col min="2562" max="2562" width="49.625" style="1" customWidth="1"/>
    <col min="2563" max="2563" width="15.25" style="1" customWidth="1"/>
    <col min="2564" max="2570" width="14.625" style="1" customWidth="1"/>
    <col min="2571" max="2571" width="0" style="1" hidden="1" customWidth="1"/>
    <col min="2572" max="2572" width="7.875" style="1" customWidth="1"/>
    <col min="2573" max="2573" width="17.375" style="1" customWidth="1"/>
    <col min="2574" max="2574" width="14.625" style="1" customWidth="1"/>
    <col min="2575" max="2575" width="8.5" style="1" customWidth="1"/>
    <col min="2576" max="2576" width="11" style="1"/>
    <col min="2577" max="2577" width="10.125" style="1" bestFit="1" customWidth="1"/>
    <col min="2578" max="2816" width="11" style="1"/>
    <col min="2817" max="2817" width="16" style="1" customWidth="1"/>
    <col min="2818" max="2818" width="49.625" style="1" customWidth="1"/>
    <col min="2819" max="2819" width="15.25" style="1" customWidth="1"/>
    <col min="2820" max="2826" width="14.625" style="1" customWidth="1"/>
    <col min="2827" max="2827" width="0" style="1" hidden="1" customWidth="1"/>
    <col min="2828" max="2828" width="7.875" style="1" customWidth="1"/>
    <col min="2829" max="2829" width="17.375" style="1" customWidth="1"/>
    <col min="2830" max="2830" width="14.625" style="1" customWidth="1"/>
    <col min="2831" max="2831" width="8.5" style="1" customWidth="1"/>
    <col min="2832" max="2832" width="11" style="1"/>
    <col min="2833" max="2833" width="10.125" style="1" bestFit="1" customWidth="1"/>
    <col min="2834" max="3072" width="11" style="1"/>
    <col min="3073" max="3073" width="16" style="1" customWidth="1"/>
    <col min="3074" max="3074" width="49.625" style="1" customWidth="1"/>
    <col min="3075" max="3075" width="15.25" style="1" customWidth="1"/>
    <col min="3076" max="3082" width="14.625" style="1" customWidth="1"/>
    <col min="3083" max="3083" width="0" style="1" hidden="1" customWidth="1"/>
    <col min="3084" max="3084" width="7.875" style="1" customWidth="1"/>
    <col min="3085" max="3085" width="17.375" style="1" customWidth="1"/>
    <col min="3086" max="3086" width="14.625" style="1" customWidth="1"/>
    <col min="3087" max="3087" width="8.5" style="1" customWidth="1"/>
    <col min="3088" max="3088" width="11" style="1"/>
    <col min="3089" max="3089" width="10.125" style="1" bestFit="1" customWidth="1"/>
    <col min="3090" max="3328" width="11" style="1"/>
    <col min="3329" max="3329" width="16" style="1" customWidth="1"/>
    <col min="3330" max="3330" width="49.625" style="1" customWidth="1"/>
    <col min="3331" max="3331" width="15.25" style="1" customWidth="1"/>
    <col min="3332" max="3338" width="14.625" style="1" customWidth="1"/>
    <col min="3339" max="3339" width="0" style="1" hidden="1" customWidth="1"/>
    <col min="3340" max="3340" width="7.875" style="1" customWidth="1"/>
    <col min="3341" max="3341" width="17.375" style="1" customWidth="1"/>
    <col min="3342" max="3342" width="14.625" style="1" customWidth="1"/>
    <col min="3343" max="3343" width="8.5" style="1" customWidth="1"/>
    <col min="3344" max="3344" width="11" style="1"/>
    <col min="3345" max="3345" width="10.125" style="1" bestFit="1" customWidth="1"/>
    <col min="3346" max="3584" width="11" style="1"/>
    <col min="3585" max="3585" width="16" style="1" customWidth="1"/>
    <col min="3586" max="3586" width="49.625" style="1" customWidth="1"/>
    <col min="3587" max="3587" width="15.25" style="1" customWidth="1"/>
    <col min="3588" max="3594" width="14.625" style="1" customWidth="1"/>
    <col min="3595" max="3595" width="0" style="1" hidden="1" customWidth="1"/>
    <col min="3596" max="3596" width="7.875" style="1" customWidth="1"/>
    <col min="3597" max="3597" width="17.375" style="1" customWidth="1"/>
    <col min="3598" max="3598" width="14.625" style="1" customWidth="1"/>
    <col min="3599" max="3599" width="8.5" style="1" customWidth="1"/>
    <col min="3600" max="3600" width="11" style="1"/>
    <col min="3601" max="3601" width="10.125" style="1" bestFit="1" customWidth="1"/>
    <col min="3602" max="3840" width="11" style="1"/>
    <col min="3841" max="3841" width="16" style="1" customWidth="1"/>
    <col min="3842" max="3842" width="49.625" style="1" customWidth="1"/>
    <col min="3843" max="3843" width="15.25" style="1" customWidth="1"/>
    <col min="3844" max="3850" width="14.625" style="1" customWidth="1"/>
    <col min="3851" max="3851" width="0" style="1" hidden="1" customWidth="1"/>
    <col min="3852" max="3852" width="7.875" style="1" customWidth="1"/>
    <col min="3853" max="3853" width="17.375" style="1" customWidth="1"/>
    <col min="3854" max="3854" width="14.625" style="1" customWidth="1"/>
    <col min="3855" max="3855" width="8.5" style="1" customWidth="1"/>
    <col min="3856" max="3856" width="11" style="1"/>
    <col min="3857" max="3857" width="10.125" style="1" bestFit="1" customWidth="1"/>
    <col min="3858" max="4096" width="11" style="1"/>
    <col min="4097" max="4097" width="16" style="1" customWidth="1"/>
    <col min="4098" max="4098" width="49.625" style="1" customWidth="1"/>
    <col min="4099" max="4099" width="15.25" style="1" customWidth="1"/>
    <col min="4100" max="4106" width="14.625" style="1" customWidth="1"/>
    <col min="4107" max="4107" width="0" style="1" hidden="1" customWidth="1"/>
    <col min="4108" max="4108" width="7.875" style="1" customWidth="1"/>
    <col min="4109" max="4109" width="17.375" style="1" customWidth="1"/>
    <col min="4110" max="4110" width="14.625" style="1" customWidth="1"/>
    <col min="4111" max="4111" width="8.5" style="1" customWidth="1"/>
    <col min="4112" max="4112" width="11" style="1"/>
    <col min="4113" max="4113" width="10.125" style="1" bestFit="1" customWidth="1"/>
    <col min="4114" max="4352" width="11" style="1"/>
    <col min="4353" max="4353" width="16" style="1" customWidth="1"/>
    <col min="4354" max="4354" width="49.625" style="1" customWidth="1"/>
    <col min="4355" max="4355" width="15.25" style="1" customWidth="1"/>
    <col min="4356" max="4362" width="14.625" style="1" customWidth="1"/>
    <col min="4363" max="4363" width="0" style="1" hidden="1" customWidth="1"/>
    <col min="4364" max="4364" width="7.875" style="1" customWidth="1"/>
    <col min="4365" max="4365" width="17.375" style="1" customWidth="1"/>
    <col min="4366" max="4366" width="14.625" style="1" customWidth="1"/>
    <col min="4367" max="4367" width="8.5" style="1" customWidth="1"/>
    <col min="4368" max="4368" width="11" style="1"/>
    <col min="4369" max="4369" width="10.125" style="1" bestFit="1" customWidth="1"/>
    <col min="4370" max="4608" width="11" style="1"/>
    <col min="4609" max="4609" width="16" style="1" customWidth="1"/>
    <col min="4610" max="4610" width="49.625" style="1" customWidth="1"/>
    <col min="4611" max="4611" width="15.25" style="1" customWidth="1"/>
    <col min="4612" max="4618" width="14.625" style="1" customWidth="1"/>
    <col min="4619" max="4619" width="0" style="1" hidden="1" customWidth="1"/>
    <col min="4620" max="4620" width="7.875" style="1" customWidth="1"/>
    <col min="4621" max="4621" width="17.375" style="1" customWidth="1"/>
    <col min="4622" max="4622" width="14.625" style="1" customWidth="1"/>
    <col min="4623" max="4623" width="8.5" style="1" customWidth="1"/>
    <col min="4624" max="4624" width="11" style="1"/>
    <col min="4625" max="4625" width="10.125" style="1" bestFit="1" customWidth="1"/>
    <col min="4626" max="4864" width="11" style="1"/>
    <col min="4865" max="4865" width="16" style="1" customWidth="1"/>
    <col min="4866" max="4866" width="49.625" style="1" customWidth="1"/>
    <col min="4867" max="4867" width="15.25" style="1" customWidth="1"/>
    <col min="4868" max="4874" width="14.625" style="1" customWidth="1"/>
    <col min="4875" max="4875" width="0" style="1" hidden="1" customWidth="1"/>
    <col min="4876" max="4876" width="7.875" style="1" customWidth="1"/>
    <col min="4877" max="4877" width="17.375" style="1" customWidth="1"/>
    <col min="4878" max="4878" width="14.625" style="1" customWidth="1"/>
    <col min="4879" max="4879" width="8.5" style="1" customWidth="1"/>
    <col min="4880" max="4880" width="11" style="1"/>
    <col min="4881" max="4881" width="10.125" style="1" bestFit="1" customWidth="1"/>
    <col min="4882" max="5120" width="11" style="1"/>
    <col min="5121" max="5121" width="16" style="1" customWidth="1"/>
    <col min="5122" max="5122" width="49.625" style="1" customWidth="1"/>
    <col min="5123" max="5123" width="15.25" style="1" customWidth="1"/>
    <col min="5124" max="5130" width="14.625" style="1" customWidth="1"/>
    <col min="5131" max="5131" width="0" style="1" hidden="1" customWidth="1"/>
    <col min="5132" max="5132" width="7.875" style="1" customWidth="1"/>
    <col min="5133" max="5133" width="17.375" style="1" customWidth="1"/>
    <col min="5134" max="5134" width="14.625" style="1" customWidth="1"/>
    <col min="5135" max="5135" width="8.5" style="1" customWidth="1"/>
    <col min="5136" max="5136" width="11" style="1"/>
    <col min="5137" max="5137" width="10.125" style="1" bestFit="1" customWidth="1"/>
    <col min="5138" max="5376" width="11" style="1"/>
    <col min="5377" max="5377" width="16" style="1" customWidth="1"/>
    <col min="5378" max="5378" width="49.625" style="1" customWidth="1"/>
    <col min="5379" max="5379" width="15.25" style="1" customWidth="1"/>
    <col min="5380" max="5386" width="14.625" style="1" customWidth="1"/>
    <col min="5387" max="5387" width="0" style="1" hidden="1" customWidth="1"/>
    <col min="5388" max="5388" width="7.875" style="1" customWidth="1"/>
    <col min="5389" max="5389" width="17.375" style="1" customWidth="1"/>
    <col min="5390" max="5390" width="14.625" style="1" customWidth="1"/>
    <col min="5391" max="5391" width="8.5" style="1" customWidth="1"/>
    <col min="5392" max="5392" width="11" style="1"/>
    <col min="5393" max="5393" width="10.125" style="1" bestFit="1" customWidth="1"/>
    <col min="5394" max="5632" width="11" style="1"/>
    <col min="5633" max="5633" width="16" style="1" customWidth="1"/>
    <col min="5634" max="5634" width="49.625" style="1" customWidth="1"/>
    <col min="5635" max="5635" width="15.25" style="1" customWidth="1"/>
    <col min="5636" max="5642" width="14.625" style="1" customWidth="1"/>
    <col min="5643" max="5643" width="0" style="1" hidden="1" customWidth="1"/>
    <col min="5644" max="5644" width="7.875" style="1" customWidth="1"/>
    <col min="5645" max="5645" width="17.375" style="1" customWidth="1"/>
    <col min="5646" max="5646" width="14.625" style="1" customWidth="1"/>
    <col min="5647" max="5647" width="8.5" style="1" customWidth="1"/>
    <col min="5648" max="5648" width="11" style="1"/>
    <col min="5649" max="5649" width="10.125" style="1" bestFit="1" customWidth="1"/>
    <col min="5650" max="5888" width="11" style="1"/>
    <col min="5889" max="5889" width="16" style="1" customWidth="1"/>
    <col min="5890" max="5890" width="49.625" style="1" customWidth="1"/>
    <col min="5891" max="5891" width="15.25" style="1" customWidth="1"/>
    <col min="5892" max="5898" width="14.625" style="1" customWidth="1"/>
    <col min="5899" max="5899" width="0" style="1" hidden="1" customWidth="1"/>
    <col min="5900" max="5900" width="7.875" style="1" customWidth="1"/>
    <col min="5901" max="5901" width="17.375" style="1" customWidth="1"/>
    <col min="5902" max="5902" width="14.625" style="1" customWidth="1"/>
    <col min="5903" max="5903" width="8.5" style="1" customWidth="1"/>
    <col min="5904" max="5904" width="11" style="1"/>
    <col min="5905" max="5905" width="10.125" style="1" bestFit="1" customWidth="1"/>
    <col min="5906" max="6144" width="11" style="1"/>
    <col min="6145" max="6145" width="16" style="1" customWidth="1"/>
    <col min="6146" max="6146" width="49.625" style="1" customWidth="1"/>
    <col min="6147" max="6147" width="15.25" style="1" customWidth="1"/>
    <col min="6148" max="6154" width="14.625" style="1" customWidth="1"/>
    <col min="6155" max="6155" width="0" style="1" hidden="1" customWidth="1"/>
    <col min="6156" max="6156" width="7.875" style="1" customWidth="1"/>
    <col min="6157" max="6157" width="17.375" style="1" customWidth="1"/>
    <col min="6158" max="6158" width="14.625" style="1" customWidth="1"/>
    <col min="6159" max="6159" width="8.5" style="1" customWidth="1"/>
    <col min="6160" max="6160" width="11" style="1"/>
    <col min="6161" max="6161" width="10.125" style="1" bestFit="1" customWidth="1"/>
    <col min="6162" max="6400" width="11" style="1"/>
    <col min="6401" max="6401" width="16" style="1" customWidth="1"/>
    <col min="6402" max="6402" width="49.625" style="1" customWidth="1"/>
    <col min="6403" max="6403" width="15.25" style="1" customWidth="1"/>
    <col min="6404" max="6410" width="14.625" style="1" customWidth="1"/>
    <col min="6411" max="6411" width="0" style="1" hidden="1" customWidth="1"/>
    <col min="6412" max="6412" width="7.875" style="1" customWidth="1"/>
    <col min="6413" max="6413" width="17.375" style="1" customWidth="1"/>
    <col min="6414" max="6414" width="14.625" style="1" customWidth="1"/>
    <col min="6415" max="6415" width="8.5" style="1" customWidth="1"/>
    <col min="6416" max="6416" width="11" style="1"/>
    <col min="6417" max="6417" width="10.125" style="1" bestFit="1" customWidth="1"/>
    <col min="6418" max="6656" width="11" style="1"/>
    <col min="6657" max="6657" width="16" style="1" customWidth="1"/>
    <col min="6658" max="6658" width="49.625" style="1" customWidth="1"/>
    <col min="6659" max="6659" width="15.25" style="1" customWidth="1"/>
    <col min="6660" max="6666" width="14.625" style="1" customWidth="1"/>
    <col min="6667" max="6667" width="0" style="1" hidden="1" customWidth="1"/>
    <col min="6668" max="6668" width="7.875" style="1" customWidth="1"/>
    <col min="6669" max="6669" width="17.375" style="1" customWidth="1"/>
    <col min="6670" max="6670" width="14.625" style="1" customWidth="1"/>
    <col min="6671" max="6671" width="8.5" style="1" customWidth="1"/>
    <col min="6672" max="6672" width="11" style="1"/>
    <col min="6673" max="6673" width="10.125" style="1" bestFit="1" customWidth="1"/>
    <col min="6674" max="6912" width="11" style="1"/>
    <col min="6913" max="6913" width="16" style="1" customWidth="1"/>
    <col min="6914" max="6914" width="49.625" style="1" customWidth="1"/>
    <col min="6915" max="6915" width="15.25" style="1" customWidth="1"/>
    <col min="6916" max="6922" width="14.625" style="1" customWidth="1"/>
    <col min="6923" max="6923" width="0" style="1" hidden="1" customWidth="1"/>
    <col min="6924" max="6924" width="7.875" style="1" customWidth="1"/>
    <col min="6925" max="6925" width="17.375" style="1" customWidth="1"/>
    <col min="6926" max="6926" width="14.625" style="1" customWidth="1"/>
    <col min="6927" max="6927" width="8.5" style="1" customWidth="1"/>
    <col min="6928" max="6928" width="11" style="1"/>
    <col min="6929" max="6929" width="10.125" style="1" bestFit="1" customWidth="1"/>
    <col min="6930" max="7168" width="11" style="1"/>
    <col min="7169" max="7169" width="16" style="1" customWidth="1"/>
    <col min="7170" max="7170" width="49.625" style="1" customWidth="1"/>
    <col min="7171" max="7171" width="15.25" style="1" customWidth="1"/>
    <col min="7172" max="7178" width="14.625" style="1" customWidth="1"/>
    <col min="7179" max="7179" width="0" style="1" hidden="1" customWidth="1"/>
    <col min="7180" max="7180" width="7.875" style="1" customWidth="1"/>
    <col min="7181" max="7181" width="17.375" style="1" customWidth="1"/>
    <col min="7182" max="7182" width="14.625" style="1" customWidth="1"/>
    <col min="7183" max="7183" width="8.5" style="1" customWidth="1"/>
    <col min="7184" max="7184" width="11" style="1"/>
    <col min="7185" max="7185" width="10.125" style="1" bestFit="1" customWidth="1"/>
    <col min="7186" max="7424" width="11" style="1"/>
    <col min="7425" max="7425" width="16" style="1" customWidth="1"/>
    <col min="7426" max="7426" width="49.625" style="1" customWidth="1"/>
    <col min="7427" max="7427" width="15.25" style="1" customWidth="1"/>
    <col min="7428" max="7434" width="14.625" style="1" customWidth="1"/>
    <col min="7435" max="7435" width="0" style="1" hidden="1" customWidth="1"/>
    <col min="7436" max="7436" width="7.875" style="1" customWidth="1"/>
    <col min="7437" max="7437" width="17.375" style="1" customWidth="1"/>
    <col min="7438" max="7438" width="14.625" style="1" customWidth="1"/>
    <col min="7439" max="7439" width="8.5" style="1" customWidth="1"/>
    <col min="7440" max="7440" width="11" style="1"/>
    <col min="7441" max="7441" width="10.125" style="1" bestFit="1" customWidth="1"/>
    <col min="7442" max="7680" width="11" style="1"/>
    <col min="7681" max="7681" width="16" style="1" customWidth="1"/>
    <col min="7682" max="7682" width="49.625" style="1" customWidth="1"/>
    <col min="7683" max="7683" width="15.25" style="1" customWidth="1"/>
    <col min="7684" max="7690" width="14.625" style="1" customWidth="1"/>
    <col min="7691" max="7691" width="0" style="1" hidden="1" customWidth="1"/>
    <col min="7692" max="7692" width="7.875" style="1" customWidth="1"/>
    <col min="7693" max="7693" width="17.375" style="1" customWidth="1"/>
    <col min="7694" max="7694" width="14.625" style="1" customWidth="1"/>
    <col min="7695" max="7695" width="8.5" style="1" customWidth="1"/>
    <col min="7696" max="7696" width="11" style="1"/>
    <col min="7697" max="7697" width="10.125" style="1" bestFit="1" customWidth="1"/>
    <col min="7698" max="7936" width="11" style="1"/>
    <col min="7937" max="7937" width="16" style="1" customWidth="1"/>
    <col min="7938" max="7938" width="49.625" style="1" customWidth="1"/>
    <col min="7939" max="7939" width="15.25" style="1" customWidth="1"/>
    <col min="7940" max="7946" width="14.625" style="1" customWidth="1"/>
    <col min="7947" max="7947" width="0" style="1" hidden="1" customWidth="1"/>
    <col min="7948" max="7948" width="7.875" style="1" customWidth="1"/>
    <col min="7949" max="7949" width="17.375" style="1" customWidth="1"/>
    <col min="7950" max="7950" width="14.625" style="1" customWidth="1"/>
    <col min="7951" max="7951" width="8.5" style="1" customWidth="1"/>
    <col min="7952" max="7952" width="11" style="1"/>
    <col min="7953" max="7953" width="10.125" style="1" bestFit="1" customWidth="1"/>
    <col min="7954" max="8192" width="11" style="1"/>
    <col min="8193" max="8193" width="16" style="1" customWidth="1"/>
    <col min="8194" max="8194" width="49.625" style="1" customWidth="1"/>
    <col min="8195" max="8195" width="15.25" style="1" customWidth="1"/>
    <col min="8196" max="8202" width="14.625" style="1" customWidth="1"/>
    <col min="8203" max="8203" width="0" style="1" hidden="1" customWidth="1"/>
    <col min="8204" max="8204" width="7.875" style="1" customWidth="1"/>
    <col min="8205" max="8205" width="17.375" style="1" customWidth="1"/>
    <col min="8206" max="8206" width="14.625" style="1" customWidth="1"/>
    <col min="8207" max="8207" width="8.5" style="1" customWidth="1"/>
    <col min="8208" max="8208" width="11" style="1"/>
    <col min="8209" max="8209" width="10.125" style="1" bestFit="1" customWidth="1"/>
    <col min="8210" max="8448" width="11" style="1"/>
    <col min="8449" max="8449" width="16" style="1" customWidth="1"/>
    <col min="8450" max="8450" width="49.625" style="1" customWidth="1"/>
    <col min="8451" max="8451" width="15.25" style="1" customWidth="1"/>
    <col min="8452" max="8458" width="14.625" style="1" customWidth="1"/>
    <col min="8459" max="8459" width="0" style="1" hidden="1" customWidth="1"/>
    <col min="8460" max="8460" width="7.875" style="1" customWidth="1"/>
    <col min="8461" max="8461" width="17.375" style="1" customWidth="1"/>
    <col min="8462" max="8462" width="14.625" style="1" customWidth="1"/>
    <col min="8463" max="8463" width="8.5" style="1" customWidth="1"/>
    <col min="8464" max="8464" width="11" style="1"/>
    <col min="8465" max="8465" width="10.125" style="1" bestFit="1" customWidth="1"/>
    <col min="8466" max="8704" width="11" style="1"/>
    <col min="8705" max="8705" width="16" style="1" customWidth="1"/>
    <col min="8706" max="8706" width="49.625" style="1" customWidth="1"/>
    <col min="8707" max="8707" width="15.25" style="1" customWidth="1"/>
    <col min="8708" max="8714" width="14.625" style="1" customWidth="1"/>
    <col min="8715" max="8715" width="0" style="1" hidden="1" customWidth="1"/>
    <col min="8716" max="8716" width="7.875" style="1" customWidth="1"/>
    <col min="8717" max="8717" width="17.375" style="1" customWidth="1"/>
    <col min="8718" max="8718" width="14.625" style="1" customWidth="1"/>
    <col min="8719" max="8719" width="8.5" style="1" customWidth="1"/>
    <col min="8720" max="8720" width="11" style="1"/>
    <col min="8721" max="8721" width="10.125" style="1" bestFit="1" customWidth="1"/>
    <col min="8722" max="8960" width="11" style="1"/>
    <col min="8961" max="8961" width="16" style="1" customWidth="1"/>
    <col min="8962" max="8962" width="49.625" style="1" customWidth="1"/>
    <col min="8963" max="8963" width="15.25" style="1" customWidth="1"/>
    <col min="8964" max="8970" width="14.625" style="1" customWidth="1"/>
    <col min="8971" max="8971" width="0" style="1" hidden="1" customWidth="1"/>
    <col min="8972" max="8972" width="7.875" style="1" customWidth="1"/>
    <col min="8973" max="8973" width="17.375" style="1" customWidth="1"/>
    <col min="8974" max="8974" width="14.625" style="1" customWidth="1"/>
    <col min="8975" max="8975" width="8.5" style="1" customWidth="1"/>
    <col min="8976" max="8976" width="11" style="1"/>
    <col min="8977" max="8977" width="10.125" style="1" bestFit="1" customWidth="1"/>
    <col min="8978" max="9216" width="11" style="1"/>
    <col min="9217" max="9217" width="16" style="1" customWidth="1"/>
    <col min="9218" max="9218" width="49.625" style="1" customWidth="1"/>
    <col min="9219" max="9219" width="15.25" style="1" customWidth="1"/>
    <col min="9220" max="9226" width="14.625" style="1" customWidth="1"/>
    <col min="9227" max="9227" width="0" style="1" hidden="1" customWidth="1"/>
    <col min="9228" max="9228" width="7.875" style="1" customWidth="1"/>
    <col min="9229" max="9229" width="17.375" style="1" customWidth="1"/>
    <col min="9230" max="9230" width="14.625" style="1" customWidth="1"/>
    <col min="9231" max="9231" width="8.5" style="1" customWidth="1"/>
    <col min="9232" max="9232" width="11" style="1"/>
    <col min="9233" max="9233" width="10.125" style="1" bestFit="1" customWidth="1"/>
    <col min="9234" max="9472" width="11" style="1"/>
    <col min="9473" max="9473" width="16" style="1" customWidth="1"/>
    <col min="9474" max="9474" width="49.625" style="1" customWidth="1"/>
    <col min="9475" max="9475" width="15.25" style="1" customWidth="1"/>
    <col min="9476" max="9482" width="14.625" style="1" customWidth="1"/>
    <col min="9483" max="9483" width="0" style="1" hidden="1" customWidth="1"/>
    <col min="9484" max="9484" width="7.875" style="1" customWidth="1"/>
    <col min="9485" max="9485" width="17.375" style="1" customWidth="1"/>
    <col min="9486" max="9486" width="14.625" style="1" customWidth="1"/>
    <col min="9487" max="9487" width="8.5" style="1" customWidth="1"/>
    <col min="9488" max="9488" width="11" style="1"/>
    <col min="9489" max="9489" width="10.125" style="1" bestFit="1" customWidth="1"/>
    <col min="9490" max="9728" width="11" style="1"/>
    <col min="9729" max="9729" width="16" style="1" customWidth="1"/>
    <col min="9730" max="9730" width="49.625" style="1" customWidth="1"/>
    <col min="9731" max="9731" width="15.25" style="1" customWidth="1"/>
    <col min="9732" max="9738" width="14.625" style="1" customWidth="1"/>
    <col min="9739" max="9739" width="0" style="1" hidden="1" customWidth="1"/>
    <col min="9740" max="9740" width="7.875" style="1" customWidth="1"/>
    <col min="9741" max="9741" width="17.375" style="1" customWidth="1"/>
    <col min="9742" max="9742" width="14.625" style="1" customWidth="1"/>
    <col min="9743" max="9743" width="8.5" style="1" customWidth="1"/>
    <col min="9744" max="9744" width="11" style="1"/>
    <col min="9745" max="9745" width="10.125" style="1" bestFit="1" customWidth="1"/>
    <col min="9746" max="9984" width="11" style="1"/>
    <col min="9985" max="9985" width="16" style="1" customWidth="1"/>
    <col min="9986" max="9986" width="49.625" style="1" customWidth="1"/>
    <col min="9987" max="9987" width="15.25" style="1" customWidth="1"/>
    <col min="9988" max="9994" width="14.625" style="1" customWidth="1"/>
    <col min="9995" max="9995" width="0" style="1" hidden="1" customWidth="1"/>
    <col min="9996" max="9996" width="7.875" style="1" customWidth="1"/>
    <col min="9997" max="9997" width="17.375" style="1" customWidth="1"/>
    <col min="9998" max="9998" width="14.625" style="1" customWidth="1"/>
    <col min="9999" max="9999" width="8.5" style="1" customWidth="1"/>
    <col min="10000" max="10000" width="11" style="1"/>
    <col min="10001" max="10001" width="10.125" style="1" bestFit="1" customWidth="1"/>
    <col min="10002" max="10240" width="11" style="1"/>
    <col min="10241" max="10241" width="16" style="1" customWidth="1"/>
    <col min="10242" max="10242" width="49.625" style="1" customWidth="1"/>
    <col min="10243" max="10243" width="15.25" style="1" customWidth="1"/>
    <col min="10244" max="10250" width="14.625" style="1" customWidth="1"/>
    <col min="10251" max="10251" width="0" style="1" hidden="1" customWidth="1"/>
    <col min="10252" max="10252" width="7.875" style="1" customWidth="1"/>
    <col min="10253" max="10253" width="17.375" style="1" customWidth="1"/>
    <col min="10254" max="10254" width="14.625" style="1" customWidth="1"/>
    <col min="10255" max="10255" width="8.5" style="1" customWidth="1"/>
    <col min="10256" max="10256" width="11" style="1"/>
    <col min="10257" max="10257" width="10.125" style="1" bestFit="1" customWidth="1"/>
    <col min="10258" max="10496" width="11" style="1"/>
    <col min="10497" max="10497" width="16" style="1" customWidth="1"/>
    <col min="10498" max="10498" width="49.625" style="1" customWidth="1"/>
    <col min="10499" max="10499" width="15.25" style="1" customWidth="1"/>
    <col min="10500" max="10506" width="14.625" style="1" customWidth="1"/>
    <col min="10507" max="10507" width="0" style="1" hidden="1" customWidth="1"/>
    <col min="10508" max="10508" width="7.875" style="1" customWidth="1"/>
    <col min="10509" max="10509" width="17.375" style="1" customWidth="1"/>
    <col min="10510" max="10510" width="14.625" style="1" customWidth="1"/>
    <col min="10511" max="10511" width="8.5" style="1" customWidth="1"/>
    <col min="10512" max="10512" width="11" style="1"/>
    <col min="10513" max="10513" width="10.125" style="1" bestFit="1" customWidth="1"/>
    <col min="10514" max="10752" width="11" style="1"/>
    <col min="10753" max="10753" width="16" style="1" customWidth="1"/>
    <col min="10754" max="10754" width="49.625" style="1" customWidth="1"/>
    <col min="10755" max="10755" width="15.25" style="1" customWidth="1"/>
    <col min="10756" max="10762" width="14.625" style="1" customWidth="1"/>
    <col min="10763" max="10763" width="0" style="1" hidden="1" customWidth="1"/>
    <col min="10764" max="10764" width="7.875" style="1" customWidth="1"/>
    <col min="10765" max="10765" width="17.375" style="1" customWidth="1"/>
    <col min="10766" max="10766" width="14.625" style="1" customWidth="1"/>
    <col min="10767" max="10767" width="8.5" style="1" customWidth="1"/>
    <col min="10768" max="10768" width="11" style="1"/>
    <col min="10769" max="10769" width="10.125" style="1" bestFit="1" customWidth="1"/>
    <col min="10770" max="11008" width="11" style="1"/>
    <col min="11009" max="11009" width="16" style="1" customWidth="1"/>
    <col min="11010" max="11010" width="49.625" style="1" customWidth="1"/>
    <col min="11011" max="11011" width="15.25" style="1" customWidth="1"/>
    <col min="11012" max="11018" width="14.625" style="1" customWidth="1"/>
    <col min="11019" max="11019" width="0" style="1" hidden="1" customWidth="1"/>
    <col min="11020" max="11020" width="7.875" style="1" customWidth="1"/>
    <col min="11021" max="11021" width="17.375" style="1" customWidth="1"/>
    <col min="11022" max="11022" width="14.625" style="1" customWidth="1"/>
    <col min="11023" max="11023" width="8.5" style="1" customWidth="1"/>
    <col min="11024" max="11024" width="11" style="1"/>
    <col min="11025" max="11025" width="10.125" style="1" bestFit="1" customWidth="1"/>
    <col min="11026" max="11264" width="11" style="1"/>
    <col min="11265" max="11265" width="16" style="1" customWidth="1"/>
    <col min="11266" max="11266" width="49.625" style="1" customWidth="1"/>
    <col min="11267" max="11267" width="15.25" style="1" customWidth="1"/>
    <col min="11268" max="11274" width="14.625" style="1" customWidth="1"/>
    <col min="11275" max="11275" width="0" style="1" hidden="1" customWidth="1"/>
    <col min="11276" max="11276" width="7.875" style="1" customWidth="1"/>
    <col min="11277" max="11277" width="17.375" style="1" customWidth="1"/>
    <col min="11278" max="11278" width="14.625" style="1" customWidth="1"/>
    <col min="11279" max="11279" width="8.5" style="1" customWidth="1"/>
    <col min="11280" max="11280" width="11" style="1"/>
    <col min="11281" max="11281" width="10.125" style="1" bestFit="1" customWidth="1"/>
    <col min="11282" max="11520" width="11" style="1"/>
    <col min="11521" max="11521" width="16" style="1" customWidth="1"/>
    <col min="11522" max="11522" width="49.625" style="1" customWidth="1"/>
    <col min="11523" max="11523" width="15.25" style="1" customWidth="1"/>
    <col min="11524" max="11530" width="14.625" style="1" customWidth="1"/>
    <col min="11531" max="11531" width="0" style="1" hidden="1" customWidth="1"/>
    <col min="11532" max="11532" width="7.875" style="1" customWidth="1"/>
    <col min="11533" max="11533" width="17.375" style="1" customWidth="1"/>
    <col min="11534" max="11534" width="14.625" style="1" customWidth="1"/>
    <col min="11535" max="11535" width="8.5" style="1" customWidth="1"/>
    <col min="11536" max="11536" width="11" style="1"/>
    <col min="11537" max="11537" width="10.125" style="1" bestFit="1" customWidth="1"/>
    <col min="11538" max="11776" width="11" style="1"/>
    <col min="11777" max="11777" width="16" style="1" customWidth="1"/>
    <col min="11778" max="11778" width="49.625" style="1" customWidth="1"/>
    <col min="11779" max="11779" width="15.25" style="1" customWidth="1"/>
    <col min="11780" max="11786" width="14.625" style="1" customWidth="1"/>
    <col min="11787" max="11787" width="0" style="1" hidden="1" customWidth="1"/>
    <col min="11788" max="11788" width="7.875" style="1" customWidth="1"/>
    <col min="11789" max="11789" width="17.375" style="1" customWidth="1"/>
    <col min="11790" max="11790" width="14.625" style="1" customWidth="1"/>
    <col min="11791" max="11791" width="8.5" style="1" customWidth="1"/>
    <col min="11792" max="11792" width="11" style="1"/>
    <col min="11793" max="11793" width="10.125" style="1" bestFit="1" customWidth="1"/>
    <col min="11794" max="12032" width="11" style="1"/>
    <col min="12033" max="12033" width="16" style="1" customWidth="1"/>
    <col min="12034" max="12034" width="49.625" style="1" customWidth="1"/>
    <col min="12035" max="12035" width="15.25" style="1" customWidth="1"/>
    <col min="12036" max="12042" width="14.625" style="1" customWidth="1"/>
    <col min="12043" max="12043" width="0" style="1" hidden="1" customWidth="1"/>
    <col min="12044" max="12044" width="7.875" style="1" customWidth="1"/>
    <col min="12045" max="12045" width="17.375" style="1" customWidth="1"/>
    <col min="12046" max="12046" width="14.625" style="1" customWidth="1"/>
    <col min="12047" max="12047" width="8.5" style="1" customWidth="1"/>
    <col min="12048" max="12048" width="11" style="1"/>
    <col min="12049" max="12049" width="10.125" style="1" bestFit="1" customWidth="1"/>
    <col min="12050" max="12288" width="11" style="1"/>
    <col min="12289" max="12289" width="16" style="1" customWidth="1"/>
    <col min="12290" max="12290" width="49.625" style="1" customWidth="1"/>
    <col min="12291" max="12291" width="15.25" style="1" customWidth="1"/>
    <col min="12292" max="12298" width="14.625" style="1" customWidth="1"/>
    <col min="12299" max="12299" width="0" style="1" hidden="1" customWidth="1"/>
    <col min="12300" max="12300" width="7.875" style="1" customWidth="1"/>
    <col min="12301" max="12301" width="17.375" style="1" customWidth="1"/>
    <col min="12302" max="12302" width="14.625" style="1" customWidth="1"/>
    <col min="12303" max="12303" width="8.5" style="1" customWidth="1"/>
    <col min="12304" max="12304" width="11" style="1"/>
    <col min="12305" max="12305" width="10.125" style="1" bestFit="1" customWidth="1"/>
    <col min="12306" max="12544" width="11" style="1"/>
    <col min="12545" max="12545" width="16" style="1" customWidth="1"/>
    <col min="12546" max="12546" width="49.625" style="1" customWidth="1"/>
    <col min="12547" max="12547" width="15.25" style="1" customWidth="1"/>
    <col min="12548" max="12554" width="14.625" style="1" customWidth="1"/>
    <col min="12555" max="12555" width="0" style="1" hidden="1" customWidth="1"/>
    <col min="12556" max="12556" width="7.875" style="1" customWidth="1"/>
    <col min="12557" max="12557" width="17.375" style="1" customWidth="1"/>
    <col min="12558" max="12558" width="14.625" style="1" customWidth="1"/>
    <col min="12559" max="12559" width="8.5" style="1" customWidth="1"/>
    <col min="12560" max="12560" width="11" style="1"/>
    <col min="12561" max="12561" width="10.125" style="1" bestFit="1" customWidth="1"/>
    <col min="12562" max="12800" width="11" style="1"/>
    <col min="12801" max="12801" width="16" style="1" customWidth="1"/>
    <col min="12802" max="12802" width="49.625" style="1" customWidth="1"/>
    <col min="12803" max="12803" width="15.25" style="1" customWidth="1"/>
    <col min="12804" max="12810" width="14.625" style="1" customWidth="1"/>
    <col min="12811" max="12811" width="0" style="1" hidden="1" customWidth="1"/>
    <col min="12812" max="12812" width="7.875" style="1" customWidth="1"/>
    <col min="12813" max="12813" width="17.375" style="1" customWidth="1"/>
    <col min="12814" max="12814" width="14.625" style="1" customWidth="1"/>
    <col min="12815" max="12815" width="8.5" style="1" customWidth="1"/>
    <col min="12816" max="12816" width="11" style="1"/>
    <col min="12817" max="12817" width="10.125" style="1" bestFit="1" customWidth="1"/>
    <col min="12818" max="13056" width="11" style="1"/>
    <col min="13057" max="13057" width="16" style="1" customWidth="1"/>
    <col min="13058" max="13058" width="49.625" style="1" customWidth="1"/>
    <col min="13059" max="13059" width="15.25" style="1" customWidth="1"/>
    <col min="13060" max="13066" width="14.625" style="1" customWidth="1"/>
    <col min="13067" max="13067" width="0" style="1" hidden="1" customWidth="1"/>
    <col min="13068" max="13068" width="7.875" style="1" customWidth="1"/>
    <col min="13069" max="13069" width="17.375" style="1" customWidth="1"/>
    <col min="13070" max="13070" width="14.625" style="1" customWidth="1"/>
    <col min="13071" max="13071" width="8.5" style="1" customWidth="1"/>
    <col min="13072" max="13072" width="11" style="1"/>
    <col min="13073" max="13073" width="10.125" style="1" bestFit="1" customWidth="1"/>
    <col min="13074" max="13312" width="11" style="1"/>
    <col min="13313" max="13313" width="16" style="1" customWidth="1"/>
    <col min="13314" max="13314" width="49.625" style="1" customWidth="1"/>
    <col min="13315" max="13315" width="15.25" style="1" customWidth="1"/>
    <col min="13316" max="13322" width="14.625" style="1" customWidth="1"/>
    <col min="13323" max="13323" width="0" style="1" hidden="1" customWidth="1"/>
    <col min="13324" max="13324" width="7.875" style="1" customWidth="1"/>
    <col min="13325" max="13325" width="17.375" style="1" customWidth="1"/>
    <col min="13326" max="13326" width="14.625" style="1" customWidth="1"/>
    <col min="13327" max="13327" width="8.5" style="1" customWidth="1"/>
    <col min="13328" max="13328" width="11" style="1"/>
    <col min="13329" max="13329" width="10.125" style="1" bestFit="1" customWidth="1"/>
    <col min="13330" max="13568" width="11" style="1"/>
    <col min="13569" max="13569" width="16" style="1" customWidth="1"/>
    <col min="13570" max="13570" width="49.625" style="1" customWidth="1"/>
    <col min="13571" max="13571" width="15.25" style="1" customWidth="1"/>
    <col min="13572" max="13578" width="14.625" style="1" customWidth="1"/>
    <col min="13579" max="13579" width="0" style="1" hidden="1" customWidth="1"/>
    <col min="13580" max="13580" width="7.875" style="1" customWidth="1"/>
    <col min="13581" max="13581" width="17.375" style="1" customWidth="1"/>
    <col min="13582" max="13582" width="14.625" style="1" customWidth="1"/>
    <col min="13583" max="13583" width="8.5" style="1" customWidth="1"/>
    <col min="13584" max="13584" width="11" style="1"/>
    <col min="13585" max="13585" width="10.125" style="1" bestFit="1" customWidth="1"/>
    <col min="13586" max="13824" width="11" style="1"/>
    <col min="13825" max="13825" width="16" style="1" customWidth="1"/>
    <col min="13826" max="13826" width="49.625" style="1" customWidth="1"/>
    <col min="13827" max="13827" width="15.25" style="1" customWidth="1"/>
    <col min="13828" max="13834" width="14.625" style="1" customWidth="1"/>
    <col min="13835" max="13835" width="0" style="1" hidden="1" customWidth="1"/>
    <col min="13836" max="13836" width="7.875" style="1" customWidth="1"/>
    <col min="13837" max="13837" width="17.375" style="1" customWidth="1"/>
    <col min="13838" max="13838" width="14.625" style="1" customWidth="1"/>
    <col min="13839" max="13839" width="8.5" style="1" customWidth="1"/>
    <col min="13840" max="13840" width="11" style="1"/>
    <col min="13841" max="13841" width="10.125" style="1" bestFit="1" customWidth="1"/>
    <col min="13842" max="14080" width="11" style="1"/>
    <col min="14081" max="14081" width="16" style="1" customWidth="1"/>
    <col min="14082" max="14082" width="49.625" style="1" customWidth="1"/>
    <col min="14083" max="14083" width="15.25" style="1" customWidth="1"/>
    <col min="14084" max="14090" width="14.625" style="1" customWidth="1"/>
    <col min="14091" max="14091" width="0" style="1" hidden="1" customWidth="1"/>
    <col min="14092" max="14092" width="7.875" style="1" customWidth="1"/>
    <col min="14093" max="14093" width="17.375" style="1" customWidth="1"/>
    <col min="14094" max="14094" width="14.625" style="1" customWidth="1"/>
    <col min="14095" max="14095" width="8.5" style="1" customWidth="1"/>
    <col min="14096" max="14096" width="11" style="1"/>
    <col min="14097" max="14097" width="10.125" style="1" bestFit="1" customWidth="1"/>
    <col min="14098" max="14336" width="11" style="1"/>
    <col min="14337" max="14337" width="16" style="1" customWidth="1"/>
    <col min="14338" max="14338" width="49.625" style="1" customWidth="1"/>
    <col min="14339" max="14339" width="15.25" style="1" customWidth="1"/>
    <col min="14340" max="14346" width="14.625" style="1" customWidth="1"/>
    <col min="14347" max="14347" width="0" style="1" hidden="1" customWidth="1"/>
    <col min="14348" max="14348" width="7.875" style="1" customWidth="1"/>
    <col min="14349" max="14349" width="17.375" style="1" customWidth="1"/>
    <col min="14350" max="14350" width="14.625" style="1" customWidth="1"/>
    <col min="14351" max="14351" width="8.5" style="1" customWidth="1"/>
    <col min="14352" max="14352" width="11" style="1"/>
    <col min="14353" max="14353" width="10.125" style="1" bestFit="1" customWidth="1"/>
    <col min="14354" max="14592" width="11" style="1"/>
    <col min="14593" max="14593" width="16" style="1" customWidth="1"/>
    <col min="14594" max="14594" width="49.625" style="1" customWidth="1"/>
    <col min="14595" max="14595" width="15.25" style="1" customWidth="1"/>
    <col min="14596" max="14602" width="14.625" style="1" customWidth="1"/>
    <col min="14603" max="14603" width="0" style="1" hidden="1" customWidth="1"/>
    <col min="14604" max="14604" width="7.875" style="1" customWidth="1"/>
    <col min="14605" max="14605" width="17.375" style="1" customWidth="1"/>
    <col min="14606" max="14606" width="14.625" style="1" customWidth="1"/>
    <col min="14607" max="14607" width="8.5" style="1" customWidth="1"/>
    <col min="14608" max="14608" width="11" style="1"/>
    <col min="14609" max="14609" width="10.125" style="1" bestFit="1" customWidth="1"/>
    <col min="14610" max="14848" width="11" style="1"/>
    <col min="14849" max="14849" width="16" style="1" customWidth="1"/>
    <col min="14850" max="14850" width="49.625" style="1" customWidth="1"/>
    <col min="14851" max="14851" width="15.25" style="1" customWidth="1"/>
    <col min="14852" max="14858" width="14.625" style="1" customWidth="1"/>
    <col min="14859" max="14859" width="0" style="1" hidden="1" customWidth="1"/>
    <col min="14860" max="14860" width="7.875" style="1" customWidth="1"/>
    <col min="14861" max="14861" width="17.375" style="1" customWidth="1"/>
    <col min="14862" max="14862" width="14.625" style="1" customWidth="1"/>
    <col min="14863" max="14863" width="8.5" style="1" customWidth="1"/>
    <col min="14864" max="14864" width="11" style="1"/>
    <col min="14865" max="14865" width="10.125" style="1" bestFit="1" customWidth="1"/>
    <col min="14866" max="15104" width="11" style="1"/>
    <col min="15105" max="15105" width="16" style="1" customWidth="1"/>
    <col min="15106" max="15106" width="49.625" style="1" customWidth="1"/>
    <col min="15107" max="15107" width="15.25" style="1" customWidth="1"/>
    <col min="15108" max="15114" width="14.625" style="1" customWidth="1"/>
    <col min="15115" max="15115" width="0" style="1" hidden="1" customWidth="1"/>
    <col min="15116" max="15116" width="7.875" style="1" customWidth="1"/>
    <col min="15117" max="15117" width="17.375" style="1" customWidth="1"/>
    <col min="15118" max="15118" width="14.625" style="1" customWidth="1"/>
    <col min="15119" max="15119" width="8.5" style="1" customWidth="1"/>
    <col min="15120" max="15120" width="11" style="1"/>
    <col min="15121" max="15121" width="10.125" style="1" bestFit="1" customWidth="1"/>
    <col min="15122" max="15360" width="11" style="1"/>
    <col min="15361" max="15361" width="16" style="1" customWidth="1"/>
    <col min="15362" max="15362" width="49.625" style="1" customWidth="1"/>
    <col min="15363" max="15363" width="15.25" style="1" customWidth="1"/>
    <col min="15364" max="15370" width="14.625" style="1" customWidth="1"/>
    <col min="15371" max="15371" width="0" style="1" hidden="1" customWidth="1"/>
    <col min="15372" max="15372" width="7.875" style="1" customWidth="1"/>
    <col min="15373" max="15373" width="17.375" style="1" customWidth="1"/>
    <col min="15374" max="15374" width="14.625" style="1" customWidth="1"/>
    <col min="15375" max="15375" width="8.5" style="1" customWidth="1"/>
    <col min="15376" max="15376" width="11" style="1"/>
    <col min="15377" max="15377" width="10.125" style="1" bestFit="1" customWidth="1"/>
    <col min="15378" max="15616" width="11" style="1"/>
    <col min="15617" max="15617" width="16" style="1" customWidth="1"/>
    <col min="15618" max="15618" width="49.625" style="1" customWidth="1"/>
    <col min="15619" max="15619" width="15.25" style="1" customWidth="1"/>
    <col min="15620" max="15626" width="14.625" style="1" customWidth="1"/>
    <col min="15627" max="15627" width="0" style="1" hidden="1" customWidth="1"/>
    <col min="15628" max="15628" width="7.875" style="1" customWidth="1"/>
    <col min="15629" max="15629" width="17.375" style="1" customWidth="1"/>
    <col min="15630" max="15630" width="14.625" style="1" customWidth="1"/>
    <col min="15631" max="15631" width="8.5" style="1" customWidth="1"/>
    <col min="15632" max="15632" width="11" style="1"/>
    <col min="15633" max="15633" width="10.125" style="1" bestFit="1" customWidth="1"/>
    <col min="15634" max="15872" width="11" style="1"/>
    <col min="15873" max="15873" width="16" style="1" customWidth="1"/>
    <col min="15874" max="15874" width="49.625" style="1" customWidth="1"/>
    <col min="15875" max="15875" width="15.25" style="1" customWidth="1"/>
    <col min="15876" max="15882" width="14.625" style="1" customWidth="1"/>
    <col min="15883" max="15883" width="0" style="1" hidden="1" customWidth="1"/>
    <col min="15884" max="15884" width="7.875" style="1" customWidth="1"/>
    <col min="15885" max="15885" width="17.375" style="1" customWidth="1"/>
    <col min="15886" max="15886" width="14.625" style="1" customWidth="1"/>
    <col min="15887" max="15887" width="8.5" style="1" customWidth="1"/>
    <col min="15888" max="15888" width="11" style="1"/>
    <col min="15889" max="15889" width="10.125" style="1" bestFit="1" customWidth="1"/>
    <col min="15890" max="16128" width="11" style="1"/>
    <col min="16129" max="16129" width="16" style="1" customWidth="1"/>
    <col min="16130" max="16130" width="49.625" style="1" customWidth="1"/>
    <col min="16131" max="16131" width="15.25" style="1" customWidth="1"/>
    <col min="16132" max="16138" width="14.625" style="1" customWidth="1"/>
    <col min="16139" max="16139" width="0" style="1" hidden="1" customWidth="1"/>
    <col min="16140" max="16140" width="7.875" style="1" customWidth="1"/>
    <col min="16141" max="16141" width="17.375" style="1" customWidth="1"/>
    <col min="16142" max="16142" width="14.625" style="1" customWidth="1"/>
    <col min="16143" max="16143" width="8.5" style="1" customWidth="1"/>
    <col min="16144" max="16144" width="11" style="1"/>
    <col min="16145" max="16145" width="10.125" style="1" bestFit="1" customWidth="1"/>
    <col min="16146" max="16384" width="11" style="1"/>
  </cols>
  <sheetData>
    <row r="1" spans="1:15" ht="18" x14ac:dyDescent="0.2">
      <c r="A1" s="195" t="s">
        <v>0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</row>
    <row r="2" spans="1:15" ht="18" x14ac:dyDescent="0.25">
      <c r="A2" s="196" t="s">
        <v>1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</row>
    <row r="3" spans="1:15" ht="18" x14ac:dyDescent="0.25">
      <c r="A3" s="196" t="s">
        <v>116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</row>
    <row r="4" spans="1:15" ht="27" customHeight="1" thickBot="1" x14ac:dyDescent="0.3">
      <c r="A4" s="2"/>
      <c r="B4" s="4"/>
      <c r="C4" s="4"/>
      <c r="D4" s="4"/>
      <c r="E4" s="144"/>
      <c r="F4" s="144"/>
      <c r="G4" s="145"/>
      <c r="H4" s="4"/>
      <c r="I4" s="4"/>
      <c r="J4" s="4"/>
      <c r="K4" s="4"/>
      <c r="L4" s="4"/>
      <c r="M4" s="5"/>
      <c r="N4" s="4"/>
      <c r="O4" s="3"/>
    </row>
    <row r="5" spans="1:15" ht="21.75" customHeight="1" x14ac:dyDescent="0.25">
      <c r="A5" s="128" t="s">
        <v>3</v>
      </c>
      <c r="B5" s="129" t="s">
        <v>4</v>
      </c>
      <c r="C5" s="130" t="s">
        <v>5</v>
      </c>
      <c r="D5" s="131" t="s">
        <v>6</v>
      </c>
      <c r="E5" s="132" t="s">
        <v>7</v>
      </c>
      <c r="F5" s="132" t="s">
        <v>8</v>
      </c>
      <c r="G5" s="130" t="s">
        <v>9</v>
      </c>
      <c r="H5" s="131" t="s">
        <v>10</v>
      </c>
      <c r="I5" s="150" t="s">
        <v>11</v>
      </c>
      <c r="J5" s="130" t="s">
        <v>12</v>
      </c>
      <c r="K5" s="131" t="s">
        <v>13</v>
      </c>
      <c r="L5" s="132" t="s">
        <v>14</v>
      </c>
      <c r="M5" s="133" t="s">
        <v>10</v>
      </c>
      <c r="N5" s="130" t="s">
        <v>15</v>
      </c>
      <c r="O5" s="131" t="s">
        <v>14</v>
      </c>
    </row>
    <row r="6" spans="1:15" ht="18.75" thickBot="1" x14ac:dyDescent="0.3">
      <c r="A6" s="134"/>
      <c r="B6" s="135"/>
      <c r="C6" s="136" t="s">
        <v>16</v>
      </c>
      <c r="D6" s="137"/>
      <c r="E6" s="138"/>
      <c r="F6" s="142"/>
      <c r="G6" s="136" t="s">
        <v>8</v>
      </c>
      <c r="H6" s="137" t="s">
        <v>5</v>
      </c>
      <c r="I6" s="151" t="s">
        <v>17</v>
      </c>
      <c r="J6" s="136" t="s">
        <v>18</v>
      </c>
      <c r="K6" s="137" t="s">
        <v>19</v>
      </c>
      <c r="L6" s="139"/>
      <c r="M6" s="140" t="s">
        <v>19</v>
      </c>
      <c r="N6" s="136" t="s">
        <v>20</v>
      </c>
      <c r="O6" s="141"/>
    </row>
    <row r="7" spans="1:15" ht="15" x14ac:dyDescent="0.25">
      <c r="A7" s="7"/>
      <c r="B7" s="8"/>
      <c r="C7" s="9"/>
      <c r="D7" s="9"/>
      <c r="E7" s="10"/>
      <c r="F7" s="10"/>
      <c r="G7" s="9"/>
      <c r="H7" s="9"/>
      <c r="I7" s="11"/>
      <c r="J7" s="9"/>
      <c r="K7" s="9"/>
      <c r="L7" s="9"/>
      <c r="M7" s="12"/>
      <c r="N7" s="13"/>
      <c r="O7" s="14"/>
    </row>
    <row r="8" spans="1:15" ht="27" customHeight="1" x14ac:dyDescent="0.25">
      <c r="A8" s="86" t="s">
        <v>21</v>
      </c>
      <c r="B8" s="87" t="s">
        <v>22</v>
      </c>
      <c r="C8" s="84">
        <f>C9+C10+C11+C12+C13+C14+C15+C16+C17</f>
        <v>647432879</v>
      </c>
      <c r="D8" s="84">
        <f>D9</f>
        <v>0</v>
      </c>
      <c r="E8" s="84">
        <f t="shared" ref="E8:K8" si="0">E9+E10+E11+E12+E13+E14+E15+E16+E17</f>
        <v>0</v>
      </c>
      <c r="F8" s="84">
        <f t="shared" si="0"/>
        <v>0</v>
      </c>
      <c r="G8" s="84">
        <f t="shared" si="0"/>
        <v>18900000</v>
      </c>
      <c r="H8" s="84">
        <f t="shared" si="0"/>
        <v>628532879</v>
      </c>
      <c r="I8" s="84">
        <f t="shared" si="0"/>
        <v>46142831</v>
      </c>
      <c r="J8" s="84">
        <f t="shared" si="0"/>
        <v>38974254</v>
      </c>
      <c r="K8" s="84">
        <f t="shared" si="0"/>
        <v>85117085</v>
      </c>
      <c r="L8" s="91">
        <f t="shared" ref="L8:L58" si="1">K8/H8</f>
        <v>0.13542184958632847</v>
      </c>
      <c r="M8" s="92">
        <f>M9+M10+M11+M12+M13+M14+M15+M16+M17</f>
        <v>85117085</v>
      </c>
      <c r="N8" s="84">
        <f>SUM(N9:N17)</f>
        <v>543415794</v>
      </c>
      <c r="O8" s="93">
        <f t="shared" ref="O8:O32" si="2">N8/H8</f>
        <v>0.86457815041367148</v>
      </c>
    </row>
    <row r="9" spans="1:15" ht="15" x14ac:dyDescent="0.25">
      <c r="A9" s="19" t="s">
        <v>23</v>
      </c>
      <c r="B9" s="20" t="s">
        <v>24</v>
      </c>
      <c r="C9" s="21">
        <v>491332879</v>
      </c>
      <c r="D9" s="22"/>
      <c r="E9" s="146"/>
      <c r="F9" s="38"/>
      <c r="G9" s="143">
        <v>18900000</v>
      </c>
      <c r="H9" s="21">
        <f>C9-D9+E9+F9-G9</f>
        <v>472432879</v>
      </c>
      <c r="I9" s="22">
        <v>38517526</v>
      </c>
      <c r="J9" s="43">
        <v>36459454</v>
      </c>
      <c r="K9" s="21">
        <f>SUM(I9:J9)</f>
        <v>74976980</v>
      </c>
      <c r="L9" s="16">
        <f t="shared" si="1"/>
        <v>0.15870398385206377</v>
      </c>
      <c r="M9" s="25">
        <f t="shared" ref="M9:M57" si="3">J9+I9</f>
        <v>74976980</v>
      </c>
      <c r="N9" s="26">
        <f t="shared" ref="N9:N17" si="4">H9-K9</f>
        <v>397455899</v>
      </c>
      <c r="O9" s="18">
        <f t="shared" si="2"/>
        <v>0.84129601614793625</v>
      </c>
    </row>
    <row r="10" spans="1:15" ht="15" x14ac:dyDescent="0.25">
      <c r="A10" s="19" t="s">
        <v>25</v>
      </c>
      <c r="B10" s="20" t="s">
        <v>26</v>
      </c>
      <c r="C10" s="21">
        <v>0</v>
      </c>
      <c r="D10" s="22"/>
      <c r="E10" s="146"/>
      <c r="F10" s="38"/>
      <c r="G10" s="127"/>
      <c r="H10" s="21">
        <f t="shared" ref="H10:H21" si="5">C10-D10+E10+F10-G10</f>
        <v>0</v>
      </c>
      <c r="I10" s="22"/>
      <c r="J10" s="22"/>
      <c r="K10" s="21">
        <f t="shared" ref="K10:K21" si="6">SUM(I10:J10)</f>
        <v>0</v>
      </c>
      <c r="L10" s="16">
        <v>0</v>
      </c>
      <c r="M10" s="25">
        <f t="shared" si="3"/>
        <v>0</v>
      </c>
      <c r="N10" s="26">
        <f t="shared" si="4"/>
        <v>0</v>
      </c>
      <c r="O10" s="18">
        <v>0</v>
      </c>
    </row>
    <row r="11" spans="1:15" ht="15" x14ac:dyDescent="0.25">
      <c r="A11" s="19" t="s">
        <v>27</v>
      </c>
      <c r="B11" s="20" t="s">
        <v>28</v>
      </c>
      <c r="C11" s="21">
        <v>2300000</v>
      </c>
      <c r="D11" s="22"/>
      <c r="E11" s="146"/>
      <c r="F11" s="38"/>
      <c r="G11" s="127"/>
      <c r="H11" s="21">
        <f t="shared" si="5"/>
        <v>2300000</v>
      </c>
      <c r="I11" s="22">
        <v>77700</v>
      </c>
      <c r="J11" s="22">
        <v>77700</v>
      </c>
      <c r="K11" s="21">
        <f t="shared" si="6"/>
        <v>155400</v>
      </c>
      <c r="L11" s="16">
        <f t="shared" si="1"/>
        <v>6.7565217391304347E-2</v>
      </c>
      <c r="M11" s="25">
        <f t="shared" si="3"/>
        <v>155400</v>
      </c>
      <c r="N11" s="26">
        <f t="shared" si="4"/>
        <v>2144600</v>
      </c>
      <c r="O11" s="18">
        <f t="shared" si="2"/>
        <v>0.93243478260869561</v>
      </c>
    </row>
    <row r="12" spans="1:15" ht="15.75" customHeight="1" x14ac:dyDescent="0.25">
      <c r="A12" s="19" t="s">
        <v>29</v>
      </c>
      <c r="B12" s="20" t="s">
        <v>30</v>
      </c>
      <c r="C12" s="21">
        <v>1800000</v>
      </c>
      <c r="D12" s="22"/>
      <c r="E12" s="146"/>
      <c r="F12" s="38"/>
      <c r="G12" s="127"/>
      <c r="H12" s="21">
        <f t="shared" si="5"/>
        <v>1800000</v>
      </c>
      <c r="I12" s="22">
        <v>107268</v>
      </c>
      <c r="J12" s="22">
        <v>107268</v>
      </c>
      <c r="K12" s="21">
        <f t="shared" si="6"/>
        <v>214536</v>
      </c>
      <c r="L12" s="16">
        <f t="shared" si="1"/>
        <v>0.11918666666666666</v>
      </c>
      <c r="M12" s="25">
        <f t="shared" si="3"/>
        <v>214536</v>
      </c>
      <c r="N12" s="26">
        <f t="shared" si="4"/>
        <v>1585464</v>
      </c>
      <c r="O12" s="18">
        <f t="shared" si="2"/>
        <v>0.88081333333333334</v>
      </c>
    </row>
    <row r="13" spans="1:15" ht="15" x14ac:dyDescent="0.25">
      <c r="A13" s="19" t="s">
        <v>31</v>
      </c>
      <c r="B13" s="20" t="s">
        <v>32</v>
      </c>
      <c r="C13" s="21">
        <v>15000000</v>
      </c>
      <c r="D13" s="22"/>
      <c r="E13" s="146"/>
      <c r="F13" s="38"/>
      <c r="G13" s="127"/>
      <c r="H13" s="21">
        <f t="shared" si="5"/>
        <v>15000000</v>
      </c>
      <c r="I13" s="27">
        <v>1412755</v>
      </c>
      <c r="J13" s="43">
        <v>948496</v>
      </c>
      <c r="K13" s="21">
        <f t="shared" si="6"/>
        <v>2361251</v>
      </c>
      <c r="L13" s="16">
        <f t="shared" si="1"/>
        <v>0.15741673333333334</v>
      </c>
      <c r="M13" s="25">
        <f t="shared" si="3"/>
        <v>2361251</v>
      </c>
      <c r="N13" s="26">
        <f t="shared" si="4"/>
        <v>12638749</v>
      </c>
      <c r="O13" s="18">
        <f t="shared" si="2"/>
        <v>0.84258326666666672</v>
      </c>
    </row>
    <row r="14" spans="1:15" ht="15" x14ac:dyDescent="0.25">
      <c r="A14" s="19" t="s">
        <v>33</v>
      </c>
      <c r="B14" s="20" t="s">
        <v>34</v>
      </c>
      <c r="C14" s="21">
        <v>22000000</v>
      </c>
      <c r="D14" s="22"/>
      <c r="E14" s="146"/>
      <c r="F14" s="38"/>
      <c r="G14" s="127"/>
      <c r="H14" s="21">
        <f t="shared" si="5"/>
        <v>22000000</v>
      </c>
      <c r="I14" s="27"/>
      <c r="J14" s="43">
        <v>1381336</v>
      </c>
      <c r="K14" s="21">
        <f t="shared" si="6"/>
        <v>1381336</v>
      </c>
      <c r="L14" s="16">
        <f t="shared" si="1"/>
        <v>6.2787999999999997E-2</v>
      </c>
      <c r="M14" s="25">
        <f t="shared" si="3"/>
        <v>1381336</v>
      </c>
      <c r="N14" s="26">
        <f t="shared" si="4"/>
        <v>20618664</v>
      </c>
      <c r="O14" s="18">
        <f t="shared" si="2"/>
        <v>0.93721200000000005</v>
      </c>
    </row>
    <row r="15" spans="1:15" ht="15" x14ac:dyDescent="0.25">
      <c r="A15" s="19" t="s">
        <v>35</v>
      </c>
      <c r="B15" s="20" t="s">
        <v>36</v>
      </c>
      <c r="C15" s="21">
        <v>33000000</v>
      </c>
      <c r="D15" s="22"/>
      <c r="E15" s="146"/>
      <c r="F15" s="38"/>
      <c r="G15" s="127"/>
      <c r="H15" s="21">
        <f t="shared" si="5"/>
        <v>33000000</v>
      </c>
      <c r="I15" s="27">
        <v>2018225</v>
      </c>
      <c r="J15" s="27"/>
      <c r="K15" s="21">
        <f t="shared" si="6"/>
        <v>2018225</v>
      </c>
      <c r="L15" s="16">
        <f t="shared" si="1"/>
        <v>6.1158333333333335E-2</v>
      </c>
      <c r="M15" s="25">
        <f t="shared" si="3"/>
        <v>2018225</v>
      </c>
      <c r="N15" s="26">
        <f t="shared" si="4"/>
        <v>30981775</v>
      </c>
      <c r="O15" s="18">
        <f t="shared" si="2"/>
        <v>0.93884166666666669</v>
      </c>
    </row>
    <row r="16" spans="1:15" ht="15" x14ac:dyDescent="0.25">
      <c r="A16" s="28">
        <v>2020110109</v>
      </c>
      <c r="B16" s="20" t="s">
        <v>37</v>
      </c>
      <c r="C16" s="21">
        <v>38000000</v>
      </c>
      <c r="D16" s="22"/>
      <c r="E16" s="146"/>
      <c r="F16" s="38"/>
      <c r="G16" s="127"/>
      <c r="H16" s="21">
        <f t="shared" si="5"/>
        <v>38000000</v>
      </c>
      <c r="I16" s="27">
        <v>4009357</v>
      </c>
      <c r="J16" s="27"/>
      <c r="K16" s="21">
        <f>SUM(I16:J16)</f>
        <v>4009357</v>
      </c>
      <c r="L16" s="16">
        <f t="shared" si="1"/>
        <v>0.10550939473684211</v>
      </c>
      <c r="M16" s="25">
        <f t="shared" si="3"/>
        <v>4009357</v>
      </c>
      <c r="N16" s="26">
        <f t="shared" si="4"/>
        <v>33990643</v>
      </c>
      <c r="O16" s="18">
        <f t="shared" si="2"/>
        <v>0.89449060526315793</v>
      </c>
    </row>
    <row r="17" spans="1:15" ht="15" x14ac:dyDescent="0.25">
      <c r="A17" s="28">
        <v>2020110108</v>
      </c>
      <c r="B17" s="20" t="s">
        <v>38</v>
      </c>
      <c r="C17" s="21">
        <v>44000000</v>
      </c>
      <c r="D17" s="22"/>
      <c r="E17" s="146"/>
      <c r="F17" s="38"/>
      <c r="G17" s="127"/>
      <c r="H17" s="21">
        <f t="shared" si="5"/>
        <v>44000000</v>
      </c>
      <c r="I17" s="22"/>
      <c r="J17" s="29"/>
      <c r="K17" s="21">
        <f t="shared" si="6"/>
        <v>0</v>
      </c>
      <c r="L17" s="16">
        <f t="shared" si="1"/>
        <v>0</v>
      </c>
      <c r="M17" s="25">
        <f t="shared" si="3"/>
        <v>0</v>
      </c>
      <c r="N17" s="26">
        <f t="shared" si="4"/>
        <v>44000000</v>
      </c>
      <c r="O17" s="18">
        <f t="shared" si="2"/>
        <v>1</v>
      </c>
    </row>
    <row r="18" spans="1:15" ht="15.75" x14ac:dyDescent="0.25">
      <c r="A18" s="86" t="s">
        <v>39</v>
      </c>
      <c r="B18" s="87" t="s">
        <v>40</v>
      </c>
      <c r="C18" s="88">
        <f>C19+C20+C21</f>
        <v>20000000</v>
      </c>
      <c r="D18" s="89"/>
      <c r="E18" s="90">
        <f t="shared" ref="E18:K18" si="7">E19+E20+E21</f>
        <v>0</v>
      </c>
      <c r="F18" s="84">
        <f t="shared" si="7"/>
        <v>0</v>
      </c>
      <c r="G18" s="84">
        <f t="shared" si="7"/>
        <v>0</v>
      </c>
      <c r="H18" s="89">
        <f t="shared" si="5"/>
        <v>20000000</v>
      </c>
      <c r="I18" s="84">
        <f t="shared" si="7"/>
        <v>0</v>
      </c>
      <c r="J18" s="84">
        <f t="shared" si="7"/>
        <v>18000000</v>
      </c>
      <c r="K18" s="84">
        <f t="shared" si="7"/>
        <v>18000000</v>
      </c>
      <c r="L18" s="91">
        <f t="shared" si="1"/>
        <v>0.9</v>
      </c>
      <c r="M18" s="92">
        <f>M19+M20+M21</f>
        <v>18000000</v>
      </c>
      <c r="N18" s="85">
        <f>SUM(N19:N21)</f>
        <v>2000000</v>
      </c>
      <c r="O18" s="93">
        <f t="shared" si="2"/>
        <v>0.1</v>
      </c>
    </row>
    <row r="19" spans="1:15" ht="15" x14ac:dyDescent="0.25">
      <c r="A19" s="19" t="s">
        <v>41</v>
      </c>
      <c r="B19" s="30" t="s">
        <v>42</v>
      </c>
      <c r="C19" s="31">
        <v>20000000</v>
      </c>
      <c r="D19" s="22"/>
      <c r="E19" s="146"/>
      <c r="F19" s="38"/>
      <c r="G19" s="127"/>
      <c r="H19" s="21">
        <f t="shared" si="5"/>
        <v>20000000</v>
      </c>
      <c r="I19" s="22"/>
      <c r="J19" s="22">
        <v>18000000</v>
      </c>
      <c r="K19" s="21">
        <f t="shared" si="6"/>
        <v>18000000</v>
      </c>
      <c r="L19" s="16">
        <f t="shared" si="1"/>
        <v>0.9</v>
      </c>
      <c r="M19" s="25">
        <f t="shared" si="3"/>
        <v>18000000</v>
      </c>
      <c r="N19" s="26">
        <f>H19-K19</f>
        <v>2000000</v>
      </c>
      <c r="O19" s="18">
        <f t="shared" si="2"/>
        <v>0.1</v>
      </c>
    </row>
    <row r="20" spans="1:15" ht="15" x14ac:dyDescent="0.25">
      <c r="A20" s="19" t="s">
        <v>43</v>
      </c>
      <c r="B20" s="20" t="s">
        <v>44</v>
      </c>
      <c r="C20" s="32">
        <v>0</v>
      </c>
      <c r="D20" s="22"/>
      <c r="E20" s="146"/>
      <c r="F20" s="38"/>
      <c r="G20" s="127"/>
      <c r="H20" s="21">
        <f t="shared" si="5"/>
        <v>0</v>
      </c>
      <c r="I20" s="22"/>
      <c r="J20" s="22"/>
      <c r="K20" s="21">
        <f t="shared" si="6"/>
        <v>0</v>
      </c>
      <c r="L20" s="16">
        <v>0</v>
      </c>
      <c r="M20" s="25">
        <f t="shared" si="3"/>
        <v>0</v>
      </c>
      <c r="N20" s="26">
        <f>H20-K20</f>
        <v>0</v>
      </c>
      <c r="O20" s="18">
        <v>0</v>
      </c>
    </row>
    <row r="21" spans="1:15" ht="15" x14ac:dyDescent="0.25">
      <c r="A21" s="19" t="s">
        <v>45</v>
      </c>
      <c r="B21" s="33" t="s">
        <v>46</v>
      </c>
      <c r="C21" s="31">
        <v>0</v>
      </c>
      <c r="D21" s="22"/>
      <c r="E21" s="146"/>
      <c r="F21" s="38"/>
      <c r="G21" s="127"/>
      <c r="H21" s="21">
        <f t="shared" si="5"/>
        <v>0</v>
      </c>
      <c r="I21" s="22"/>
      <c r="J21" s="27"/>
      <c r="K21" s="21">
        <f t="shared" si="6"/>
        <v>0</v>
      </c>
      <c r="L21" s="16">
        <v>0</v>
      </c>
      <c r="M21" s="25">
        <f t="shared" si="3"/>
        <v>0</v>
      </c>
      <c r="N21" s="26">
        <f>H21-K21</f>
        <v>0</v>
      </c>
      <c r="O21" s="18">
        <v>0</v>
      </c>
    </row>
    <row r="22" spans="1:15" ht="15.75" x14ac:dyDescent="0.25">
      <c r="A22" s="86" t="s">
        <v>47</v>
      </c>
      <c r="B22" s="94" t="s">
        <v>48</v>
      </c>
      <c r="C22" s="95">
        <f>C23+C24+C25+C26</f>
        <v>26200000</v>
      </c>
      <c r="D22" s="84"/>
      <c r="E22" s="84">
        <f t="shared" ref="E22:K22" si="8">E23+E24+E25+E26</f>
        <v>0</v>
      </c>
      <c r="F22" s="84">
        <f t="shared" si="8"/>
        <v>0</v>
      </c>
      <c r="G22" s="84">
        <f t="shared" si="8"/>
        <v>0</v>
      </c>
      <c r="H22" s="84">
        <f t="shared" si="8"/>
        <v>26200000</v>
      </c>
      <c r="I22" s="84">
        <f t="shared" si="8"/>
        <v>1404640</v>
      </c>
      <c r="J22" s="84">
        <f t="shared" si="8"/>
        <v>1095000</v>
      </c>
      <c r="K22" s="84">
        <f t="shared" si="8"/>
        <v>2499640</v>
      </c>
      <c r="L22" s="91">
        <f t="shared" si="1"/>
        <v>9.5406106870229004E-2</v>
      </c>
      <c r="M22" s="92">
        <f t="shared" si="3"/>
        <v>2499640</v>
      </c>
      <c r="N22" s="84">
        <f>SUM(N23:N26)</f>
        <v>23700360</v>
      </c>
      <c r="O22" s="93">
        <f t="shared" si="2"/>
        <v>0.90459389312977101</v>
      </c>
    </row>
    <row r="23" spans="1:15" ht="15" x14ac:dyDescent="0.25">
      <c r="A23" s="19" t="s">
        <v>49</v>
      </c>
      <c r="B23" s="33" t="s">
        <v>50</v>
      </c>
      <c r="C23" s="31">
        <v>0</v>
      </c>
      <c r="D23" s="22"/>
      <c r="E23" s="146"/>
      <c r="F23" s="38"/>
      <c r="G23" s="127"/>
      <c r="H23" s="21">
        <f>C23-D23+E23+F23-G23</f>
        <v>0</v>
      </c>
      <c r="I23" s="27"/>
      <c r="J23" s="27"/>
      <c r="K23" s="21">
        <f t="shared" ref="K23:K57" si="9">SUM(I23:J23)</f>
        <v>0</v>
      </c>
      <c r="L23" s="16">
        <v>0</v>
      </c>
      <c r="M23" s="17">
        <f t="shared" si="3"/>
        <v>0</v>
      </c>
      <c r="N23" s="26">
        <f>H23-K23</f>
        <v>0</v>
      </c>
      <c r="O23" s="18">
        <v>0</v>
      </c>
    </row>
    <row r="24" spans="1:15" ht="15" x14ac:dyDescent="0.25">
      <c r="A24" s="19" t="s">
        <v>51</v>
      </c>
      <c r="B24" s="34" t="s">
        <v>52</v>
      </c>
      <c r="C24" s="31">
        <v>25000000</v>
      </c>
      <c r="D24" s="22"/>
      <c r="E24" s="146"/>
      <c r="F24" s="38"/>
      <c r="G24" s="127"/>
      <c r="H24" s="21">
        <f>C24-D24+E24+F24-G24</f>
        <v>25000000</v>
      </c>
      <c r="I24" s="22">
        <v>1404640</v>
      </c>
      <c r="J24" s="22">
        <v>1095000</v>
      </c>
      <c r="K24" s="21">
        <f t="shared" si="9"/>
        <v>2499640</v>
      </c>
      <c r="L24" s="16">
        <f t="shared" si="1"/>
        <v>9.9985599999999994E-2</v>
      </c>
      <c r="M24" s="25">
        <f t="shared" si="3"/>
        <v>2499640</v>
      </c>
      <c r="N24" s="26">
        <f>H24-K24</f>
        <v>22500360</v>
      </c>
      <c r="O24" s="35">
        <f t="shared" si="2"/>
        <v>0.90001439999999999</v>
      </c>
    </row>
    <row r="25" spans="1:15" ht="15" x14ac:dyDescent="0.25">
      <c r="A25" s="19" t="s">
        <v>53</v>
      </c>
      <c r="B25" s="33" t="s">
        <v>54</v>
      </c>
      <c r="C25" s="32">
        <v>1200000</v>
      </c>
      <c r="D25" s="22"/>
      <c r="E25" s="146"/>
      <c r="F25" s="38"/>
      <c r="G25" s="147"/>
      <c r="H25" s="21">
        <f>C25-D25+E25+F25-G25</f>
        <v>1200000</v>
      </c>
      <c r="I25" s="22"/>
      <c r="J25" s="22"/>
      <c r="K25" s="21">
        <f t="shared" si="9"/>
        <v>0</v>
      </c>
      <c r="L25" s="16">
        <f t="shared" si="1"/>
        <v>0</v>
      </c>
      <c r="M25" s="17">
        <f t="shared" si="3"/>
        <v>0</v>
      </c>
      <c r="N25" s="26">
        <f>H25-K25</f>
        <v>1200000</v>
      </c>
      <c r="O25" s="35">
        <f t="shared" si="2"/>
        <v>1</v>
      </c>
    </row>
    <row r="26" spans="1:15" ht="15" x14ac:dyDescent="0.25">
      <c r="A26" s="19" t="s">
        <v>55</v>
      </c>
      <c r="B26" s="33" t="s">
        <v>56</v>
      </c>
      <c r="C26" s="32">
        <v>0</v>
      </c>
      <c r="D26" s="22"/>
      <c r="E26" s="146"/>
      <c r="F26" s="38"/>
      <c r="G26" s="127"/>
      <c r="H26" s="21">
        <f>C26-D26+E26+F26-G26</f>
        <v>0</v>
      </c>
      <c r="I26" s="22"/>
      <c r="J26" s="22"/>
      <c r="K26" s="21">
        <f t="shared" si="9"/>
        <v>0</v>
      </c>
      <c r="L26" s="16">
        <v>0</v>
      </c>
      <c r="M26" s="17">
        <f t="shared" si="3"/>
        <v>0</v>
      </c>
      <c r="N26" s="26">
        <f>H26-K26</f>
        <v>0</v>
      </c>
      <c r="O26" s="35">
        <v>0</v>
      </c>
    </row>
    <row r="27" spans="1:15" ht="15.75" x14ac:dyDescent="0.25">
      <c r="A27" s="86" t="s">
        <v>57</v>
      </c>
      <c r="B27" s="94" t="s">
        <v>58</v>
      </c>
      <c r="C27" s="88">
        <f>C28+C29+C30+C31+C32+C33+C34+C35+C36+C37+C38+C39+C40+C41</f>
        <v>119922165</v>
      </c>
      <c r="D27" s="89"/>
      <c r="E27" s="84">
        <f t="shared" ref="E27:J27" si="10">E28+E29+E30+E31+E32+E33+E34+E35+E36+E37+E38+E39+E40+E41</f>
        <v>0</v>
      </c>
      <c r="F27" s="84">
        <f t="shared" si="10"/>
        <v>32500000</v>
      </c>
      <c r="G27" s="84">
        <f t="shared" si="10"/>
        <v>13600000</v>
      </c>
      <c r="H27" s="84">
        <f t="shared" si="10"/>
        <v>138822165</v>
      </c>
      <c r="I27" s="84">
        <f t="shared" si="10"/>
        <v>11204364</v>
      </c>
      <c r="J27" s="84">
        <f t="shared" si="10"/>
        <v>30607238</v>
      </c>
      <c r="K27" s="84">
        <f>K28+K29+K30+K31+K32+K33+K34+K35+K36+K37+K38+K39+K40</f>
        <v>41811602</v>
      </c>
      <c r="L27" s="91">
        <f t="shared" si="1"/>
        <v>0.30118822883939317</v>
      </c>
      <c r="M27" s="92">
        <f>M28+M29+M30+M31+M32+M33+M34+M35+M36+M37+M38+M39+M40+M41</f>
        <v>41811602</v>
      </c>
      <c r="N27" s="85">
        <f>SUM(N28:N41)</f>
        <v>97010563</v>
      </c>
      <c r="O27" s="93">
        <f t="shared" si="2"/>
        <v>0.69881177116060678</v>
      </c>
    </row>
    <row r="28" spans="1:15" ht="15" x14ac:dyDescent="0.25">
      <c r="A28" s="19" t="s">
        <v>59</v>
      </c>
      <c r="B28" s="33" t="s">
        <v>60</v>
      </c>
      <c r="C28" s="31">
        <v>10000000</v>
      </c>
      <c r="D28" s="22"/>
      <c r="E28" s="146"/>
      <c r="F28" s="38">
        <v>2500000</v>
      </c>
      <c r="G28" s="127"/>
      <c r="H28" s="21">
        <f t="shared" ref="H28:H41" si="11">C28-D28+E28+F28-G28</f>
        <v>12500000</v>
      </c>
      <c r="I28" s="22">
        <v>1000000</v>
      </c>
      <c r="J28" s="22">
        <v>2133450</v>
      </c>
      <c r="K28" s="21">
        <f t="shared" si="9"/>
        <v>3133450</v>
      </c>
      <c r="L28" s="16">
        <f t="shared" si="1"/>
        <v>0.25067600000000001</v>
      </c>
      <c r="M28" s="25">
        <f t="shared" si="3"/>
        <v>3133450</v>
      </c>
      <c r="N28" s="26">
        <f t="shared" ref="N28:N39" si="12">H28-K28</f>
        <v>9366550</v>
      </c>
      <c r="O28" s="35">
        <f t="shared" si="2"/>
        <v>0.74932399999999999</v>
      </c>
    </row>
    <row r="29" spans="1:15" ht="15" x14ac:dyDescent="0.25">
      <c r="A29" s="19" t="s">
        <v>61</v>
      </c>
      <c r="B29" s="33" t="s">
        <v>62</v>
      </c>
      <c r="C29" s="31">
        <v>25000000</v>
      </c>
      <c r="D29" s="22"/>
      <c r="E29" s="146"/>
      <c r="F29" s="38">
        <v>30000000</v>
      </c>
      <c r="G29" s="127"/>
      <c r="H29" s="21">
        <f t="shared" si="11"/>
        <v>55000000</v>
      </c>
      <c r="I29" s="22">
        <v>9431011</v>
      </c>
      <c r="J29" s="22">
        <v>19375188</v>
      </c>
      <c r="K29" s="21">
        <f t="shared" si="9"/>
        <v>28806199</v>
      </c>
      <c r="L29" s="16">
        <f t="shared" si="1"/>
        <v>0.52374907272727278</v>
      </c>
      <c r="M29" s="25">
        <f t="shared" si="3"/>
        <v>28806199</v>
      </c>
      <c r="N29" s="26">
        <f t="shared" si="12"/>
        <v>26193801</v>
      </c>
      <c r="O29" s="35">
        <f t="shared" si="2"/>
        <v>0.47625092727272728</v>
      </c>
    </row>
    <row r="30" spans="1:15" ht="15" x14ac:dyDescent="0.25">
      <c r="A30" s="19" t="s">
        <v>63</v>
      </c>
      <c r="B30" s="33" t="s">
        <v>64</v>
      </c>
      <c r="C30" s="31">
        <v>4400000</v>
      </c>
      <c r="D30" s="22"/>
      <c r="E30" s="146"/>
      <c r="F30" s="38"/>
      <c r="G30" s="127"/>
      <c r="H30" s="21">
        <f t="shared" si="11"/>
        <v>4400000</v>
      </c>
      <c r="I30" s="22">
        <v>400000</v>
      </c>
      <c r="J30" s="43">
        <v>246600</v>
      </c>
      <c r="K30" s="21">
        <f t="shared" si="9"/>
        <v>646600</v>
      </c>
      <c r="L30" s="16">
        <f t="shared" si="1"/>
        <v>0.14695454545454545</v>
      </c>
      <c r="M30" s="25">
        <f t="shared" si="3"/>
        <v>646600</v>
      </c>
      <c r="N30" s="26">
        <f t="shared" si="12"/>
        <v>3753400</v>
      </c>
      <c r="O30" s="35">
        <f t="shared" si="2"/>
        <v>0.85304545454545455</v>
      </c>
    </row>
    <row r="31" spans="1:15" ht="15" x14ac:dyDescent="0.25">
      <c r="A31" s="19" t="s">
        <v>65</v>
      </c>
      <c r="B31" s="33" t="s">
        <v>66</v>
      </c>
      <c r="C31" s="32">
        <v>10000000</v>
      </c>
      <c r="D31" s="22"/>
      <c r="E31" s="146"/>
      <c r="F31" s="38"/>
      <c r="G31" s="127"/>
      <c r="H31" s="21">
        <f t="shared" si="11"/>
        <v>10000000</v>
      </c>
      <c r="I31" s="27"/>
      <c r="J31" s="27"/>
      <c r="K31" s="21">
        <f t="shared" si="9"/>
        <v>0</v>
      </c>
      <c r="L31" s="16">
        <f t="shared" si="1"/>
        <v>0</v>
      </c>
      <c r="M31" s="25">
        <f t="shared" si="3"/>
        <v>0</v>
      </c>
      <c r="N31" s="26">
        <f t="shared" si="12"/>
        <v>10000000</v>
      </c>
      <c r="O31" s="18">
        <f t="shared" si="2"/>
        <v>1</v>
      </c>
    </row>
    <row r="32" spans="1:15" ht="15" x14ac:dyDescent="0.25">
      <c r="A32" s="19" t="s">
        <v>67</v>
      </c>
      <c r="B32" s="33" t="s">
        <v>68</v>
      </c>
      <c r="C32" s="32">
        <v>4800000</v>
      </c>
      <c r="D32" s="22"/>
      <c r="E32" s="146"/>
      <c r="F32" s="38"/>
      <c r="G32" s="127"/>
      <c r="H32" s="21">
        <f t="shared" si="11"/>
        <v>4800000</v>
      </c>
      <c r="I32" s="27">
        <v>373353</v>
      </c>
      <c r="J32" s="43">
        <v>500000</v>
      </c>
      <c r="K32" s="21">
        <f t="shared" si="9"/>
        <v>873353</v>
      </c>
      <c r="L32" s="16">
        <f t="shared" si="1"/>
        <v>0.18194854166666666</v>
      </c>
      <c r="M32" s="25">
        <f t="shared" si="3"/>
        <v>873353</v>
      </c>
      <c r="N32" s="26">
        <f t="shared" si="12"/>
        <v>3926647</v>
      </c>
      <c r="O32" s="18">
        <f t="shared" si="2"/>
        <v>0.81805145833333337</v>
      </c>
    </row>
    <row r="33" spans="1:17" ht="15" x14ac:dyDescent="0.25">
      <c r="A33" s="19" t="s">
        <v>69</v>
      </c>
      <c r="B33" s="33" t="s">
        <v>70</v>
      </c>
      <c r="C33" s="32">
        <v>3200000</v>
      </c>
      <c r="D33" s="22"/>
      <c r="E33" s="146"/>
      <c r="F33" s="38"/>
      <c r="G33" s="127"/>
      <c r="H33" s="21">
        <f t="shared" si="11"/>
        <v>3200000</v>
      </c>
      <c r="I33" s="22"/>
      <c r="J33" s="27"/>
      <c r="K33" s="21">
        <f t="shared" si="9"/>
        <v>0</v>
      </c>
      <c r="L33" s="16">
        <f t="shared" si="1"/>
        <v>0</v>
      </c>
      <c r="M33" s="25">
        <f t="shared" si="3"/>
        <v>0</v>
      </c>
      <c r="N33" s="26">
        <f t="shared" si="12"/>
        <v>3200000</v>
      </c>
      <c r="O33" s="18">
        <v>0</v>
      </c>
    </row>
    <row r="34" spans="1:17" ht="15" x14ac:dyDescent="0.25">
      <c r="A34" s="19" t="s">
        <v>71</v>
      </c>
      <c r="B34" s="34" t="s">
        <v>72</v>
      </c>
      <c r="C34" s="32">
        <v>3822165</v>
      </c>
      <c r="D34" s="22"/>
      <c r="E34" s="146"/>
      <c r="F34" s="38"/>
      <c r="G34" s="127"/>
      <c r="H34" s="21">
        <f t="shared" si="11"/>
        <v>3822165</v>
      </c>
      <c r="I34" s="22"/>
      <c r="J34" s="22"/>
      <c r="K34" s="21">
        <f t="shared" si="9"/>
        <v>0</v>
      </c>
      <c r="L34" s="16">
        <f t="shared" si="1"/>
        <v>0</v>
      </c>
      <c r="M34" s="25">
        <f t="shared" si="3"/>
        <v>0</v>
      </c>
      <c r="N34" s="26">
        <f t="shared" si="12"/>
        <v>3822165</v>
      </c>
      <c r="O34" s="18">
        <f t="shared" ref="O34:O46" si="13">N34/H34</f>
        <v>1</v>
      </c>
    </row>
    <row r="35" spans="1:17" ht="15" x14ac:dyDescent="0.25">
      <c r="A35" s="19" t="s">
        <v>73</v>
      </c>
      <c r="B35" s="33" t="s">
        <v>74</v>
      </c>
      <c r="C35" s="32">
        <v>0</v>
      </c>
      <c r="D35" s="22"/>
      <c r="E35" s="146"/>
      <c r="F35" s="38"/>
      <c r="G35" s="127"/>
      <c r="H35" s="21">
        <f t="shared" si="11"/>
        <v>0</v>
      </c>
      <c r="I35" s="22"/>
      <c r="J35" s="22"/>
      <c r="K35" s="21">
        <f t="shared" si="9"/>
        <v>0</v>
      </c>
      <c r="L35" s="16">
        <v>0</v>
      </c>
      <c r="M35" s="25">
        <f t="shared" si="3"/>
        <v>0</v>
      </c>
      <c r="N35" s="26">
        <f t="shared" si="12"/>
        <v>0</v>
      </c>
      <c r="O35" s="18">
        <v>0</v>
      </c>
    </row>
    <row r="36" spans="1:17" ht="15" x14ac:dyDescent="0.25">
      <c r="A36" s="19" t="s">
        <v>75</v>
      </c>
      <c r="B36" s="33" t="s">
        <v>76</v>
      </c>
      <c r="C36" s="32">
        <v>11000000</v>
      </c>
      <c r="D36" s="22"/>
      <c r="E36" s="146"/>
      <c r="F36" s="38"/>
      <c r="G36" s="127">
        <v>3600000</v>
      </c>
      <c r="H36" s="21">
        <f t="shared" si="11"/>
        <v>7400000</v>
      </c>
      <c r="I36" s="22"/>
      <c r="J36" s="45">
        <v>7400000</v>
      </c>
      <c r="K36" s="21">
        <f t="shared" si="9"/>
        <v>7400000</v>
      </c>
      <c r="L36" s="16">
        <f t="shared" si="1"/>
        <v>1</v>
      </c>
      <c r="M36" s="25">
        <f t="shared" si="3"/>
        <v>7400000</v>
      </c>
      <c r="N36" s="26">
        <f t="shared" si="12"/>
        <v>0</v>
      </c>
      <c r="O36" s="18">
        <f t="shared" si="13"/>
        <v>0</v>
      </c>
    </row>
    <row r="37" spans="1:17" ht="15" x14ac:dyDescent="0.25">
      <c r="A37" s="19" t="s">
        <v>77</v>
      </c>
      <c r="B37" s="34" t="s">
        <v>78</v>
      </c>
      <c r="C37" s="32">
        <v>20700000</v>
      </c>
      <c r="D37" s="22"/>
      <c r="E37" s="146"/>
      <c r="F37" s="38"/>
      <c r="G37" s="127">
        <v>10000000</v>
      </c>
      <c r="H37" s="21">
        <f t="shared" si="11"/>
        <v>10700000</v>
      </c>
      <c r="I37" s="22"/>
      <c r="J37" s="45"/>
      <c r="K37" s="21">
        <f t="shared" si="9"/>
        <v>0</v>
      </c>
      <c r="L37" s="16">
        <f t="shared" si="1"/>
        <v>0</v>
      </c>
      <c r="M37" s="25">
        <f t="shared" si="3"/>
        <v>0</v>
      </c>
      <c r="N37" s="26">
        <f t="shared" si="12"/>
        <v>10700000</v>
      </c>
      <c r="O37" s="35">
        <f t="shared" si="13"/>
        <v>1</v>
      </c>
    </row>
    <row r="38" spans="1:17" ht="15" x14ac:dyDescent="0.25">
      <c r="A38" s="19" t="s">
        <v>79</v>
      </c>
      <c r="B38" s="33" t="s">
        <v>80</v>
      </c>
      <c r="C38" s="32">
        <v>3000000</v>
      </c>
      <c r="D38" s="22"/>
      <c r="E38" s="146"/>
      <c r="F38" s="38"/>
      <c r="G38" s="127"/>
      <c r="H38" s="21">
        <f t="shared" si="11"/>
        <v>3000000</v>
      </c>
      <c r="I38" s="22"/>
      <c r="J38" s="45">
        <v>952000</v>
      </c>
      <c r="K38" s="21">
        <f t="shared" si="9"/>
        <v>952000</v>
      </c>
      <c r="L38" s="16">
        <f t="shared" si="1"/>
        <v>0.31733333333333336</v>
      </c>
      <c r="M38" s="25">
        <f t="shared" si="3"/>
        <v>952000</v>
      </c>
      <c r="N38" s="26">
        <f t="shared" si="12"/>
        <v>2048000</v>
      </c>
      <c r="O38" s="35">
        <f t="shared" si="13"/>
        <v>0.68266666666666664</v>
      </c>
    </row>
    <row r="39" spans="1:17" ht="15" x14ac:dyDescent="0.25">
      <c r="A39" s="19" t="s">
        <v>81</v>
      </c>
      <c r="B39" s="33" t="s">
        <v>82</v>
      </c>
      <c r="C39" s="32">
        <v>20000000</v>
      </c>
      <c r="D39" s="22"/>
      <c r="E39" s="146"/>
      <c r="F39" s="38"/>
      <c r="G39" s="127"/>
      <c r="H39" s="21">
        <f t="shared" si="11"/>
        <v>20000000</v>
      </c>
      <c r="I39" s="22"/>
      <c r="J39" s="22"/>
      <c r="K39" s="21">
        <f t="shared" si="9"/>
        <v>0</v>
      </c>
      <c r="L39" s="16">
        <f t="shared" si="1"/>
        <v>0</v>
      </c>
      <c r="M39" s="25">
        <f t="shared" si="3"/>
        <v>0</v>
      </c>
      <c r="N39" s="26">
        <f t="shared" si="12"/>
        <v>20000000</v>
      </c>
      <c r="O39" s="18">
        <f t="shared" si="13"/>
        <v>1</v>
      </c>
    </row>
    <row r="40" spans="1:17" ht="15" x14ac:dyDescent="0.25">
      <c r="A40" s="19" t="s">
        <v>83</v>
      </c>
      <c r="B40" s="33" t="s">
        <v>84</v>
      </c>
      <c r="C40" s="32">
        <v>4000000</v>
      </c>
      <c r="D40" s="22"/>
      <c r="E40" s="146"/>
      <c r="F40" s="38"/>
      <c r="G40" s="127"/>
      <c r="H40" s="21">
        <f t="shared" si="11"/>
        <v>4000000</v>
      </c>
      <c r="I40" s="22"/>
      <c r="J40" s="22"/>
      <c r="K40" s="21">
        <f t="shared" si="9"/>
        <v>0</v>
      </c>
      <c r="L40" s="16">
        <f>K40/H40</f>
        <v>0</v>
      </c>
      <c r="M40" s="25">
        <f t="shared" si="3"/>
        <v>0</v>
      </c>
      <c r="N40" s="26">
        <f>H40-K40</f>
        <v>4000000</v>
      </c>
      <c r="O40" s="18">
        <f t="shared" si="13"/>
        <v>1</v>
      </c>
    </row>
    <row r="41" spans="1:17" ht="15" x14ac:dyDescent="0.25">
      <c r="A41" s="19" t="s">
        <v>85</v>
      </c>
      <c r="B41" s="33" t="s">
        <v>86</v>
      </c>
      <c r="C41" s="32">
        <v>0</v>
      </c>
      <c r="D41" s="22"/>
      <c r="E41" s="146"/>
      <c r="F41" s="38"/>
      <c r="G41" s="127"/>
      <c r="H41" s="21">
        <f t="shared" si="11"/>
        <v>0</v>
      </c>
      <c r="I41" s="22"/>
      <c r="J41" s="22"/>
      <c r="K41" s="21">
        <f t="shared" si="9"/>
        <v>0</v>
      </c>
      <c r="L41" s="16">
        <v>0</v>
      </c>
      <c r="M41" s="25">
        <f t="shared" si="3"/>
        <v>0</v>
      </c>
      <c r="N41" s="26">
        <f>H41-K41</f>
        <v>0</v>
      </c>
      <c r="O41" s="18">
        <v>0</v>
      </c>
    </row>
    <row r="42" spans="1:17" ht="31.5" customHeight="1" x14ac:dyDescent="0.25">
      <c r="A42" s="86" t="s">
        <v>87</v>
      </c>
      <c r="B42" s="94" t="s">
        <v>88</v>
      </c>
      <c r="C42" s="88">
        <f>C43+C44+C45+C46</f>
        <v>115800000</v>
      </c>
      <c r="D42" s="89"/>
      <c r="E42" s="90">
        <f t="shared" ref="E42:K42" si="14">E43+E44+E45+E46</f>
        <v>0</v>
      </c>
      <c r="F42" s="84">
        <f t="shared" si="14"/>
        <v>0</v>
      </c>
      <c r="G42" s="84">
        <f t="shared" si="14"/>
        <v>0</v>
      </c>
      <c r="H42" s="84">
        <f t="shared" si="14"/>
        <v>115800000</v>
      </c>
      <c r="I42" s="84">
        <f t="shared" si="14"/>
        <v>7889200</v>
      </c>
      <c r="J42" s="84">
        <f t="shared" si="14"/>
        <v>10190096</v>
      </c>
      <c r="K42" s="84">
        <f t="shared" si="14"/>
        <v>18079296</v>
      </c>
      <c r="L42" s="91">
        <f t="shared" si="1"/>
        <v>0.15612518134715025</v>
      </c>
      <c r="M42" s="92">
        <f t="shared" si="3"/>
        <v>18079296</v>
      </c>
      <c r="N42" s="85">
        <f>SUM(N43:N46)</f>
        <v>97720704</v>
      </c>
      <c r="O42" s="93">
        <f t="shared" si="13"/>
        <v>0.84387481865284975</v>
      </c>
    </row>
    <row r="43" spans="1:17" ht="15" x14ac:dyDescent="0.25">
      <c r="A43" s="19" t="s">
        <v>89</v>
      </c>
      <c r="B43" s="33" t="s">
        <v>90</v>
      </c>
      <c r="C43" s="21">
        <v>33000000</v>
      </c>
      <c r="D43" s="22"/>
      <c r="E43" s="146"/>
      <c r="F43" s="38"/>
      <c r="G43" s="127"/>
      <c r="H43" s="21">
        <f>C43-D43+E43+F43-G43</f>
        <v>33000000</v>
      </c>
      <c r="I43" s="22"/>
      <c r="J43" s="44">
        <v>1737384</v>
      </c>
      <c r="K43" s="21">
        <f t="shared" si="9"/>
        <v>1737384</v>
      </c>
      <c r="L43" s="16">
        <f t="shared" si="1"/>
        <v>5.2648E-2</v>
      </c>
      <c r="M43" s="25">
        <f t="shared" si="3"/>
        <v>1737384</v>
      </c>
      <c r="N43" s="26">
        <f>H43-K43</f>
        <v>31262616</v>
      </c>
      <c r="O43" s="18">
        <f t="shared" si="13"/>
        <v>0.94735199999999997</v>
      </c>
    </row>
    <row r="44" spans="1:17" ht="15" x14ac:dyDescent="0.25">
      <c r="A44" s="19" t="s">
        <v>91</v>
      </c>
      <c r="B44" s="33" t="s">
        <v>92</v>
      </c>
      <c r="C44" s="21">
        <v>38000000</v>
      </c>
      <c r="D44" s="22"/>
      <c r="E44" s="146"/>
      <c r="F44" s="38"/>
      <c r="G44" s="127"/>
      <c r="H44" s="21">
        <f>C44-D44+E44+F44-G44</f>
        <v>38000000</v>
      </c>
      <c r="I44" s="27">
        <v>3473388</v>
      </c>
      <c r="J44" s="44">
        <v>3473388</v>
      </c>
      <c r="K44" s="21">
        <f t="shared" si="9"/>
        <v>6946776</v>
      </c>
      <c r="L44" s="16">
        <f t="shared" si="1"/>
        <v>0.18280989473684212</v>
      </c>
      <c r="M44" s="25">
        <f t="shared" si="3"/>
        <v>6946776</v>
      </c>
      <c r="N44" s="26">
        <f>H44-K44</f>
        <v>31053224</v>
      </c>
      <c r="O44" s="18">
        <f t="shared" si="13"/>
        <v>0.81719010526315794</v>
      </c>
      <c r="Q44" s="37"/>
    </row>
    <row r="45" spans="1:17" ht="15" x14ac:dyDescent="0.25">
      <c r="A45" s="28">
        <v>2020110304</v>
      </c>
      <c r="B45" s="33" t="s">
        <v>93</v>
      </c>
      <c r="C45" s="21">
        <v>36800000</v>
      </c>
      <c r="D45" s="22"/>
      <c r="E45" s="146"/>
      <c r="F45" s="38"/>
      <c r="G45" s="127"/>
      <c r="H45" s="21">
        <f>C45-D45+E45+F45-G45</f>
        <v>36800000</v>
      </c>
      <c r="I45" s="27">
        <v>4415812</v>
      </c>
      <c r="J45" s="43">
        <v>4415812</v>
      </c>
      <c r="K45" s="21">
        <f t="shared" si="9"/>
        <v>8831624</v>
      </c>
      <c r="L45" s="16">
        <f t="shared" si="1"/>
        <v>0.23998978260869566</v>
      </c>
      <c r="M45" s="25">
        <f t="shared" si="3"/>
        <v>8831624</v>
      </c>
      <c r="N45" s="26">
        <f>H45-K45</f>
        <v>27968376</v>
      </c>
      <c r="O45" s="18">
        <f t="shared" si="13"/>
        <v>0.76001021739130437</v>
      </c>
      <c r="Q45" s="37"/>
    </row>
    <row r="46" spans="1:17" ht="15" x14ac:dyDescent="0.25">
      <c r="A46" s="28">
        <v>2020110305</v>
      </c>
      <c r="B46" s="33" t="s">
        <v>94</v>
      </c>
      <c r="C46" s="21">
        <v>8000000</v>
      </c>
      <c r="D46" s="15"/>
      <c r="E46" s="15"/>
      <c r="F46" s="15"/>
      <c r="G46" s="127"/>
      <c r="H46" s="21">
        <f>C46-D46+E46+F46-G46</f>
        <v>8000000</v>
      </c>
      <c r="I46" s="21"/>
      <c r="J46" s="43">
        <v>563512</v>
      </c>
      <c r="K46" s="21">
        <f t="shared" si="9"/>
        <v>563512</v>
      </c>
      <c r="L46" s="16">
        <f t="shared" si="1"/>
        <v>7.0439000000000002E-2</v>
      </c>
      <c r="M46" s="25">
        <f t="shared" si="3"/>
        <v>563512</v>
      </c>
      <c r="N46" s="26">
        <f>H46-K46</f>
        <v>7436488</v>
      </c>
      <c r="O46" s="18">
        <f t="shared" si="13"/>
        <v>0.92956099999999997</v>
      </c>
      <c r="Q46" s="37"/>
    </row>
    <row r="47" spans="1:17" ht="29.25" customHeight="1" x14ac:dyDescent="0.25">
      <c r="A47" s="86" t="s">
        <v>95</v>
      </c>
      <c r="B47" s="94" t="s">
        <v>96</v>
      </c>
      <c r="C47" s="88">
        <f>C48+C49+C50+C51+C52+C53+C54+C55+C56+C57</f>
        <v>100800000</v>
      </c>
      <c r="D47" s="89"/>
      <c r="E47" s="84">
        <f>E48</f>
        <v>0</v>
      </c>
      <c r="F47" s="84">
        <f>F48+F49+F50+F51+F52+F53+F54+F55+F56+F57</f>
        <v>0</v>
      </c>
      <c r="G47" s="84"/>
      <c r="H47" s="84">
        <f>H48+H49+H50+H51+H52+H53+H54+H55+H56+H57</f>
        <v>100800000</v>
      </c>
      <c r="I47" s="84">
        <f>I48+I49+I50+I51+I52+I53+I54+I55+I56+I57</f>
        <v>8389900</v>
      </c>
      <c r="J47" s="84">
        <f>J48+J49+J50+J51+J52+J53+J54+J55+J56+J57</f>
        <v>3657900</v>
      </c>
      <c r="K47" s="84">
        <f t="shared" si="9"/>
        <v>12047800</v>
      </c>
      <c r="L47" s="91">
        <f t="shared" si="1"/>
        <v>0.11952182539682539</v>
      </c>
      <c r="M47" s="92">
        <f t="shared" si="3"/>
        <v>12047800</v>
      </c>
      <c r="N47" s="85">
        <f>SUM(N48:N57)</f>
        <v>88752200</v>
      </c>
      <c r="O47" s="93">
        <f t="shared" ref="O47:O58" si="15">N47/H47</f>
        <v>0.88047817460317457</v>
      </c>
      <c r="Q47" s="37"/>
    </row>
    <row r="48" spans="1:17" ht="15" x14ac:dyDescent="0.25">
      <c r="A48" s="19" t="s">
        <v>97</v>
      </c>
      <c r="B48" s="33" t="s">
        <v>98</v>
      </c>
      <c r="C48" s="31">
        <v>21000000</v>
      </c>
      <c r="D48" s="22"/>
      <c r="E48" s="146"/>
      <c r="F48" s="38"/>
      <c r="G48" s="127"/>
      <c r="H48" s="21">
        <f t="shared" ref="H48:H57" si="16">C48-D48+E48+F48-G48</f>
        <v>21000000</v>
      </c>
      <c r="I48" s="27">
        <v>4435100</v>
      </c>
      <c r="J48" s="27"/>
      <c r="K48" s="21">
        <f t="shared" si="9"/>
        <v>4435100</v>
      </c>
      <c r="L48" s="16">
        <f t="shared" si="1"/>
        <v>0.2111952380952381</v>
      </c>
      <c r="M48" s="25">
        <f t="shared" si="3"/>
        <v>4435100</v>
      </c>
      <c r="N48" s="26">
        <f t="shared" ref="N48:N57" si="17">H48-K48</f>
        <v>16564900</v>
      </c>
      <c r="O48" s="18">
        <f t="shared" si="15"/>
        <v>0.7888047619047619</v>
      </c>
      <c r="Q48" s="37"/>
    </row>
    <row r="49" spans="1:17" ht="15" x14ac:dyDescent="0.25">
      <c r="A49" s="19" t="s">
        <v>99</v>
      </c>
      <c r="B49" s="33" t="s">
        <v>92</v>
      </c>
      <c r="C49" s="31">
        <v>0</v>
      </c>
      <c r="D49" s="22"/>
      <c r="E49" s="146"/>
      <c r="F49" s="38"/>
      <c r="G49" s="127"/>
      <c r="H49" s="21">
        <f t="shared" si="16"/>
        <v>0</v>
      </c>
      <c r="I49" s="22"/>
      <c r="J49" s="22"/>
      <c r="K49" s="21">
        <f t="shared" si="9"/>
        <v>0</v>
      </c>
      <c r="L49" s="16">
        <v>0</v>
      </c>
      <c r="M49" s="17">
        <f t="shared" si="3"/>
        <v>0</v>
      </c>
      <c r="N49" s="26">
        <f t="shared" si="17"/>
        <v>0</v>
      </c>
      <c r="O49" s="18">
        <v>0</v>
      </c>
      <c r="Q49" s="37"/>
    </row>
    <row r="50" spans="1:17" ht="15" x14ac:dyDescent="0.25">
      <c r="A50" s="19" t="s">
        <v>100</v>
      </c>
      <c r="B50" s="33" t="s">
        <v>101</v>
      </c>
      <c r="C50" s="31">
        <v>3000000</v>
      </c>
      <c r="D50" s="22"/>
      <c r="E50" s="146"/>
      <c r="F50" s="38"/>
      <c r="G50" s="127"/>
      <c r="H50" s="21">
        <f t="shared" si="16"/>
        <v>3000000</v>
      </c>
      <c r="I50" s="27">
        <v>261000</v>
      </c>
      <c r="J50" s="27">
        <v>246600</v>
      </c>
      <c r="K50" s="21">
        <f t="shared" si="9"/>
        <v>507600</v>
      </c>
      <c r="L50" s="16">
        <f t="shared" si="1"/>
        <v>0.16919999999999999</v>
      </c>
      <c r="M50" s="25">
        <f t="shared" si="3"/>
        <v>507600</v>
      </c>
      <c r="N50" s="26">
        <f t="shared" si="17"/>
        <v>2492400</v>
      </c>
      <c r="O50" s="18">
        <f t="shared" si="15"/>
        <v>0.83079999999999998</v>
      </c>
      <c r="Q50" s="37"/>
    </row>
    <row r="51" spans="1:17" ht="15" x14ac:dyDescent="0.25">
      <c r="A51" s="19" t="s">
        <v>102</v>
      </c>
      <c r="B51" s="33" t="s">
        <v>93</v>
      </c>
      <c r="C51" s="32">
        <v>22000000</v>
      </c>
      <c r="D51" s="22"/>
      <c r="E51" s="146"/>
      <c r="F51" s="38"/>
      <c r="G51" s="127"/>
      <c r="H51" s="21">
        <f t="shared" si="16"/>
        <v>22000000</v>
      </c>
      <c r="I51" s="39"/>
      <c r="J51" s="39"/>
      <c r="K51" s="21">
        <f t="shared" si="9"/>
        <v>0</v>
      </c>
      <c r="L51" s="16">
        <f t="shared" si="1"/>
        <v>0</v>
      </c>
      <c r="M51" s="25">
        <f t="shared" si="3"/>
        <v>0</v>
      </c>
      <c r="N51" s="26">
        <f t="shared" si="17"/>
        <v>22000000</v>
      </c>
      <c r="O51" s="18">
        <f t="shared" si="15"/>
        <v>1</v>
      </c>
      <c r="Q51" s="37"/>
    </row>
    <row r="52" spans="1:17" ht="15" x14ac:dyDescent="0.25">
      <c r="A52" s="19" t="s">
        <v>103</v>
      </c>
      <c r="B52" s="33" t="s">
        <v>104</v>
      </c>
      <c r="C52" s="32">
        <v>23000000</v>
      </c>
      <c r="D52" s="22"/>
      <c r="E52" s="146"/>
      <c r="F52" s="38"/>
      <c r="G52" s="127"/>
      <c r="H52" s="21">
        <f t="shared" si="16"/>
        <v>23000000</v>
      </c>
      <c r="I52" s="27">
        <v>1642000</v>
      </c>
      <c r="J52" s="27">
        <v>1534800</v>
      </c>
      <c r="K52" s="21">
        <f t="shared" si="9"/>
        <v>3176800</v>
      </c>
      <c r="L52" s="16">
        <f t="shared" si="1"/>
        <v>0.1381217391304348</v>
      </c>
      <c r="M52" s="25">
        <f t="shared" si="3"/>
        <v>3176800</v>
      </c>
      <c r="N52" s="26">
        <f t="shared" si="17"/>
        <v>19823200</v>
      </c>
      <c r="O52" s="18">
        <f t="shared" si="15"/>
        <v>0.8618782608695652</v>
      </c>
      <c r="Q52" s="37"/>
    </row>
    <row r="53" spans="1:17" ht="15" x14ac:dyDescent="0.25">
      <c r="A53" s="19" t="s">
        <v>105</v>
      </c>
      <c r="B53" s="33" t="s">
        <v>106</v>
      </c>
      <c r="C53" s="32">
        <v>19800000</v>
      </c>
      <c r="D53" s="22"/>
      <c r="E53" s="146"/>
      <c r="F53" s="38"/>
      <c r="G53" s="127"/>
      <c r="H53" s="21">
        <f t="shared" si="16"/>
        <v>19800000</v>
      </c>
      <c r="I53" s="27">
        <v>1231200</v>
      </c>
      <c r="J53" s="27">
        <v>1150800</v>
      </c>
      <c r="K53" s="21">
        <f t="shared" si="9"/>
        <v>2382000</v>
      </c>
      <c r="L53" s="16">
        <f t="shared" si="1"/>
        <v>0.1203030303030303</v>
      </c>
      <c r="M53" s="25">
        <f t="shared" si="3"/>
        <v>2382000</v>
      </c>
      <c r="N53" s="26">
        <f t="shared" si="17"/>
        <v>17418000</v>
      </c>
      <c r="O53" s="18">
        <f t="shared" si="15"/>
        <v>0.87969696969696964</v>
      </c>
      <c r="Q53" s="37"/>
    </row>
    <row r="54" spans="1:17" ht="15" x14ac:dyDescent="0.25">
      <c r="A54" s="19" t="s">
        <v>107</v>
      </c>
      <c r="B54" s="33" t="s">
        <v>108</v>
      </c>
      <c r="C54" s="32">
        <v>3000000</v>
      </c>
      <c r="D54" s="22"/>
      <c r="E54" s="146"/>
      <c r="F54" s="38"/>
      <c r="G54" s="127"/>
      <c r="H54" s="21">
        <f t="shared" si="16"/>
        <v>3000000</v>
      </c>
      <c r="I54" s="27">
        <v>205200</v>
      </c>
      <c r="J54" s="27">
        <v>181500</v>
      </c>
      <c r="K54" s="21">
        <f t="shared" si="9"/>
        <v>386700</v>
      </c>
      <c r="L54" s="16">
        <f t="shared" si="1"/>
        <v>0.12889999999999999</v>
      </c>
      <c r="M54" s="25">
        <f t="shared" si="3"/>
        <v>386700</v>
      </c>
      <c r="N54" s="26">
        <f t="shared" si="17"/>
        <v>2613300</v>
      </c>
      <c r="O54" s="18">
        <f t="shared" si="15"/>
        <v>0.87109999999999999</v>
      </c>
      <c r="Q54" s="37"/>
    </row>
    <row r="55" spans="1:17" ht="15" x14ac:dyDescent="0.25">
      <c r="A55" s="19" t="s">
        <v>109</v>
      </c>
      <c r="B55" s="33" t="s">
        <v>110</v>
      </c>
      <c r="C55" s="32">
        <v>3000000</v>
      </c>
      <c r="D55" s="22"/>
      <c r="E55" s="146"/>
      <c r="F55" s="38"/>
      <c r="G55" s="127"/>
      <c r="H55" s="21">
        <f t="shared" si="16"/>
        <v>3000000</v>
      </c>
      <c r="I55" s="27">
        <v>205200</v>
      </c>
      <c r="J55" s="44">
        <v>181500</v>
      </c>
      <c r="K55" s="21">
        <f t="shared" si="9"/>
        <v>386700</v>
      </c>
      <c r="L55" s="16">
        <f t="shared" si="1"/>
        <v>0.12889999999999999</v>
      </c>
      <c r="M55" s="25">
        <f t="shared" si="3"/>
        <v>386700</v>
      </c>
      <c r="N55" s="26">
        <f t="shared" si="17"/>
        <v>2613300</v>
      </c>
      <c r="O55" s="18">
        <f t="shared" si="15"/>
        <v>0.87109999999999999</v>
      </c>
      <c r="Q55" s="37"/>
    </row>
    <row r="56" spans="1:17" ht="15" x14ac:dyDescent="0.25">
      <c r="A56" s="19" t="s">
        <v>111</v>
      </c>
      <c r="B56" s="33" t="s">
        <v>112</v>
      </c>
      <c r="C56" s="32">
        <v>6000000</v>
      </c>
      <c r="D56" s="22"/>
      <c r="E56" s="146"/>
      <c r="F56" s="38"/>
      <c r="G56" s="127"/>
      <c r="H56" s="21">
        <f t="shared" si="16"/>
        <v>6000000</v>
      </c>
      <c r="I56" s="27">
        <v>410200</v>
      </c>
      <c r="J56" s="44">
        <v>362700</v>
      </c>
      <c r="K56" s="21">
        <f t="shared" si="9"/>
        <v>772900</v>
      </c>
      <c r="L56" s="16">
        <f t="shared" si="1"/>
        <v>0.12881666666666666</v>
      </c>
      <c r="M56" s="25">
        <f t="shared" si="3"/>
        <v>772900</v>
      </c>
      <c r="N56" s="26">
        <f t="shared" si="17"/>
        <v>5227100</v>
      </c>
      <c r="O56" s="18">
        <f t="shared" si="15"/>
        <v>0.87118333333333331</v>
      </c>
      <c r="Q56" s="37"/>
    </row>
    <row r="57" spans="1:17" ht="15" x14ac:dyDescent="0.25">
      <c r="A57" s="19" t="s">
        <v>113</v>
      </c>
      <c r="B57" s="33" t="s">
        <v>114</v>
      </c>
      <c r="C57" s="32"/>
      <c r="D57" s="22"/>
      <c r="E57" s="146"/>
      <c r="F57" s="38"/>
      <c r="G57" s="127"/>
      <c r="H57" s="21">
        <f t="shared" si="16"/>
        <v>0</v>
      </c>
      <c r="I57" s="22"/>
      <c r="J57" s="22"/>
      <c r="K57" s="21">
        <f t="shared" si="9"/>
        <v>0</v>
      </c>
      <c r="L57" s="16">
        <v>0</v>
      </c>
      <c r="M57" s="17">
        <f t="shared" si="3"/>
        <v>0</v>
      </c>
      <c r="N57" s="26">
        <f t="shared" si="17"/>
        <v>0</v>
      </c>
      <c r="O57" s="18">
        <v>0</v>
      </c>
      <c r="Q57" s="37"/>
    </row>
    <row r="58" spans="1:17" ht="45" customHeight="1" thickBot="1" x14ac:dyDescent="0.25">
      <c r="A58" s="152"/>
      <c r="B58" s="153" t="s">
        <v>115</v>
      </c>
      <c r="C58" s="172">
        <f>C47+C42+C27+C18+C22+C8</f>
        <v>1030155044</v>
      </c>
      <c r="D58" s="154">
        <f>D9+D47</f>
        <v>0</v>
      </c>
      <c r="E58" s="154">
        <f>E8+E18+E22+E27+E42</f>
        <v>0</v>
      </c>
      <c r="F58" s="154">
        <f>F47+F42+F27+F22+F18+F8</f>
        <v>32500000</v>
      </c>
      <c r="G58" s="154">
        <f>G47+G42+G27+G22+G18+G8</f>
        <v>32500000</v>
      </c>
      <c r="H58" s="154">
        <f>H8+H18+H22+H27+H42+H47</f>
        <v>1030155044</v>
      </c>
      <c r="I58" s="154">
        <f>I47+I42+I27+I22+I18+I8</f>
        <v>75030935</v>
      </c>
      <c r="J58" s="154">
        <f>J47+J42+J27+J22+J18+J8</f>
        <v>102524488</v>
      </c>
      <c r="K58" s="154">
        <f>K47+K42+K27+K22+K18+K8</f>
        <v>177555423</v>
      </c>
      <c r="L58" s="155">
        <f t="shared" si="1"/>
        <v>0.17235796109930032</v>
      </c>
      <c r="M58" s="156">
        <f>M47+M42+M27+M22+M18+M8</f>
        <v>177555423</v>
      </c>
      <c r="N58" s="154">
        <f>N47+N42+N27+N22+N18+N8</f>
        <v>852599621</v>
      </c>
      <c r="O58" s="157">
        <f t="shared" si="15"/>
        <v>0.82764203890069965</v>
      </c>
    </row>
    <row r="59" spans="1:17" ht="39" customHeight="1" thickBot="1" x14ac:dyDescent="0.25">
      <c r="A59" s="203" t="s">
        <v>121</v>
      </c>
      <c r="B59" s="204"/>
      <c r="C59" s="204"/>
      <c r="D59" s="204"/>
      <c r="E59" s="204"/>
      <c r="F59" s="204"/>
      <c r="G59" s="204"/>
      <c r="H59" s="204"/>
      <c r="I59" s="204"/>
      <c r="J59" s="204"/>
      <c r="K59" s="204"/>
      <c r="L59" s="204"/>
      <c r="M59" s="204"/>
      <c r="N59" s="204"/>
      <c r="O59" s="205"/>
      <c r="Q59" s="40"/>
    </row>
    <row r="60" spans="1:17" x14ac:dyDescent="0.2">
      <c r="K60" s="40"/>
    </row>
    <row r="61" spans="1:17" x14ac:dyDescent="0.2">
      <c r="G61" s="149">
        <f>G58-F58</f>
        <v>0</v>
      </c>
    </row>
    <row r="62" spans="1:17" x14ac:dyDescent="0.2">
      <c r="D62" s="40"/>
      <c r="F62" s="149"/>
      <c r="G62" s="149"/>
      <c r="K62" s="40"/>
      <c r="N62" s="40"/>
    </row>
    <row r="63" spans="1:17" x14ac:dyDescent="0.2">
      <c r="G63" s="149"/>
      <c r="I63" s="40"/>
      <c r="J63" s="42"/>
      <c r="N63" s="40"/>
    </row>
    <row r="64" spans="1:17" x14ac:dyDescent="0.2">
      <c r="D64" s="40"/>
      <c r="J64" s="40"/>
      <c r="L64" s="40"/>
      <c r="N64" s="40"/>
    </row>
    <row r="65" spans="8:14" x14ac:dyDescent="0.2">
      <c r="H65" s="40"/>
      <c r="J65" s="40"/>
      <c r="N65" s="40"/>
    </row>
    <row r="66" spans="8:14" x14ac:dyDescent="0.2">
      <c r="J66" s="40"/>
    </row>
  </sheetData>
  <mergeCells count="4">
    <mergeCell ref="A1:O1"/>
    <mergeCell ref="A2:O2"/>
    <mergeCell ref="A3:O3"/>
    <mergeCell ref="A59:O59"/>
  </mergeCells>
  <pageMargins left="1.4566929133858268" right="0.74803149606299213" top="0.39370078740157483" bottom="0.98425196850393704" header="0" footer="0"/>
  <pageSetup paperSize="14" scale="50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6"/>
  <sheetViews>
    <sheetView showGridLines="0" zoomScale="80" zoomScaleNormal="80" workbookViewId="0">
      <pane xSplit="2" ySplit="7" topLeftCell="C32" activePane="bottomRight" state="frozen"/>
      <selection pane="topRight" activeCell="C1" sqref="C1"/>
      <selection pane="bottomLeft" activeCell="A8" sqref="A8"/>
      <selection pane="bottomRight" activeCell="I61" sqref="I61"/>
    </sheetView>
  </sheetViews>
  <sheetFormatPr baseColWidth="10" defaultRowHeight="14.25" x14ac:dyDescent="0.2"/>
  <cols>
    <col min="1" max="1" width="16" style="1" customWidth="1"/>
    <col min="2" max="2" width="50" style="1" customWidth="1"/>
    <col min="3" max="3" width="19.375" style="1" bestFit="1" customWidth="1"/>
    <col min="4" max="6" width="14.625" style="1" customWidth="1"/>
    <col min="7" max="7" width="13.5" style="1" customWidth="1"/>
    <col min="8" max="10" width="14.625" style="1" customWidth="1"/>
    <col min="11" max="11" width="14.625" style="1" hidden="1" customWidth="1"/>
    <col min="12" max="12" width="7.875" style="1" customWidth="1"/>
    <col min="13" max="13" width="17.375" style="41" customWidth="1"/>
    <col min="14" max="14" width="14.625" style="1" customWidth="1"/>
    <col min="15" max="15" width="8.5" style="1" customWidth="1"/>
    <col min="16" max="16" width="11" style="1"/>
    <col min="17" max="17" width="10.125" style="1" bestFit="1" customWidth="1"/>
    <col min="18" max="256" width="11" style="1"/>
    <col min="257" max="257" width="16" style="1" customWidth="1"/>
    <col min="258" max="258" width="49.625" style="1" customWidth="1"/>
    <col min="259" max="259" width="15.25" style="1" customWidth="1"/>
    <col min="260" max="266" width="14.625" style="1" customWidth="1"/>
    <col min="267" max="267" width="0" style="1" hidden="1" customWidth="1"/>
    <col min="268" max="268" width="7.875" style="1" customWidth="1"/>
    <col min="269" max="269" width="17.375" style="1" customWidth="1"/>
    <col min="270" max="270" width="14.625" style="1" customWidth="1"/>
    <col min="271" max="271" width="8.5" style="1" customWidth="1"/>
    <col min="272" max="272" width="11" style="1"/>
    <col min="273" max="273" width="10.125" style="1" bestFit="1" customWidth="1"/>
    <col min="274" max="512" width="11" style="1"/>
    <col min="513" max="513" width="16" style="1" customWidth="1"/>
    <col min="514" max="514" width="49.625" style="1" customWidth="1"/>
    <col min="515" max="515" width="15.25" style="1" customWidth="1"/>
    <col min="516" max="522" width="14.625" style="1" customWidth="1"/>
    <col min="523" max="523" width="0" style="1" hidden="1" customWidth="1"/>
    <col min="524" max="524" width="7.875" style="1" customWidth="1"/>
    <col min="525" max="525" width="17.375" style="1" customWidth="1"/>
    <col min="526" max="526" width="14.625" style="1" customWidth="1"/>
    <col min="527" max="527" width="8.5" style="1" customWidth="1"/>
    <col min="528" max="528" width="11" style="1"/>
    <col min="529" max="529" width="10.125" style="1" bestFit="1" customWidth="1"/>
    <col min="530" max="768" width="11" style="1"/>
    <col min="769" max="769" width="16" style="1" customWidth="1"/>
    <col min="770" max="770" width="49.625" style="1" customWidth="1"/>
    <col min="771" max="771" width="15.25" style="1" customWidth="1"/>
    <col min="772" max="778" width="14.625" style="1" customWidth="1"/>
    <col min="779" max="779" width="0" style="1" hidden="1" customWidth="1"/>
    <col min="780" max="780" width="7.875" style="1" customWidth="1"/>
    <col min="781" max="781" width="17.375" style="1" customWidth="1"/>
    <col min="782" max="782" width="14.625" style="1" customWidth="1"/>
    <col min="783" max="783" width="8.5" style="1" customWidth="1"/>
    <col min="784" max="784" width="11" style="1"/>
    <col min="785" max="785" width="10.125" style="1" bestFit="1" customWidth="1"/>
    <col min="786" max="1024" width="11" style="1"/>
    <col min="1025" max="1025" width="16" style="1" customWidth="1"/>
    <col min="1026" max="1026" width="49.625" style="1" customWidth="1"/>
    <col min="1027" max="1027" width="15.25" style="1" customWidth="1"/>
    <col min="1028" max="1034" width="14.625" style="1" customWidth="1"/>
    <col min="1035" max="1035" width="0" style="1" hidden="1" customWidth="1"/>
    <col min="1036" max="1036" width="7.875" style="1" customWidth="1"/>
    <col min="1037" max="1037" width="17.375" style="1" customWidth="1"/>
    <col min="1038" max="1038" width="14.625" style="1" customWidth="1"/>
    <col min="1039" max="1039" width="8.5" style="1" customWidth="1"/>
    <col min="1040" max="1040" width="11" style="1"/>
    <col min="1041" max="1041" width="10.125" style="1" bestFit="1" customWidth="1"/>
    <col min="1042" max="1280" width="11" style="1"/>
    <col min="1281" max="1281" width="16" style="1" customWidth="1"/>
    <col min="1282" max="1282" width="49.625" style="1" customWidth="1"/>
    <col min="1283" max="1283" width="15.25" style="1" customWidth="1"/>
    <col min="1284" max="1290" width="14.625" style="1" customWidth="1"/>
    <col min="1291" max="1291" width="0" style="1" hidden="1" customWidth="1"/>
    <col min="1292" max="1292" width="7.875" style="1" customWidth="1"/>
    <col min="1293" max="1293" width="17.375" style="1" customWidth="1"/>
    <col min="1294" max="1294" width="14.625" style="1" customWidth="1"/>
    <col min="1295" max="1295" width="8.5" style="1" customWidth="1"/>
    <col min="1296" max="1296" width="11" style="1"/>
    <col min="1297" max="1297" width="10.125" style="1" bestFit="1" customWidth="1"/>
    <col min="1298" max="1536" width="11" style="1"/>
    <col min="1537" max="1537" width="16" style="1" customWidth="1"/>
    <col min="1538" max="1538" width="49.625" style="1" customWidth="1"/>
    <col min="1539" max="1539" width="15.25" style="1" customWidth="1"/>
    <col min="1540" max="1546" width="14.625" style="1" customWidth="1"/>
    <col min="1547" max="1547" width="0" style="1" hidden="1" customWidth="1"/>
    <col min="1548" max="1548" width="7.875" style="1" customWidth="1"/>
    <col min="1549" max="1549" width="17.375" style="1" customWidth="1"/>
    <col min="1550" max="1550" width="14.625" style="1" customWidth="1"/>
    <col min="1551" max="1551" width="8.5" style="1" customWidth="1"/>
    <col min="1552" max="1552" width="11" style="1"/>
    <col min="1553" max="1553" width="10.125" style="1" bestFit="1" customWidth="1"/>
    <col min="1554" max="1792" width="11" style="1"/>
    <col min="1793" max="1793" width="16" style="1" customWidth="1"/>
    <col min="1794" max="1794" width="49.625" style="1" customWidth="1"/>
    <col min="1795" max="1795" width="15.25" style="1" customWidth="1"/>
    <col min="1796" max="1802" width="14.625" style="1" customWidth="1"/>
    <col min="1803" max="1803" width="0" style="1" hidden="1" customWidth="1"/>
    <col min="1804" max="1804" width="7.875" style="1" customWidth="1"/>
    <col min="1805" max="1805" width="17.375" style="1" customWidth="1"/>
    <col min="1806" max="1806" width="14.625" style="1" customWidth="1"/>
    <col min="1807" max="1807" width="8.5" style="1" customWidth="1"/>
    <col min="1808" max="1808" width="11" style="1"/>
    <col min="1809" max="1809" width="10.125" style="1" bestFit="1" customWidth="1"/>
    <col min="1810" max="2048" width="11" style="1"/>
    <col min="2049" max="2049" width="16" style="1" customWidth="1"/>
    <col min="2050" max="2050" width="49.625" style="1" customWidth="1"/>
    <col min="2051" max="2051" width="15.25" style="1" customWidth="1"/>
    <col min="2052" max="2058" width="14.625" style="1" customWidth="1"/>
    <col min="2059" max="2059" width="0" style="1" hidden="1" customWidth="1"/>
    <col min="2060" max="2060" width="7.875" style="1" customWidth="1"/>
    <col min="2061" max="2061" width="17.375" style="1" customWidth="1"/>
    <col min="2062" max="2062" width="14.625" style="1" customWidth="1"/>
    <col min="2063" max="2063" width="8.5" style="1" customWidth="1"/>
    <col min="2064" max="2064" width="11" style="1"/>
    <col min="2065" max="2065" width="10.125" style="1" bestFit="1" customWidth="1"/>
    <col min="2066" max="2304" width="11" style="1"/>
    <col min="2305" max="2305" width="16" style="1" customWidth="1"/>
    <col min="2306" max="2306" width="49.625" style="1" customWidth="1"/>
    <col min="2307" max="2307" width="15.25" style="1" customWidth="1"/>
    <col min="2308" max="2314" width="14.625" style="1" customWidth="1"/>
    <col min="2315" max="2315" width="0" style="1" hidden="1" customWidth="1"/>
    <col min="2316" max="2316" width="7.875" style="1" customWidth="1"/>
    <col min="2317" max="2317" width="17.375" style="1" customWidth="1"/>
    <col min="2318" max="2318" width="14.625" style="1" customWidth="1"/>
    <col min="2319" max="2319" width="8.5" style="1" customWidth="1"/>
    <col min="2320" max="2320" width="11" style="1"/>
    <col min="2321" max="2321" width="10.125" style="1" bestFit="1" customWidth="1"/>
    <col min="2322" max="2560" width="11" style="1"/>
    <col min="2561" max="2561" width="16" style="1" customWidth="1"/>
    <col min="2562" max="2562" width="49.625" style="1" customWidth="1"/>
    <col min="2563" max="2563" width="15.25" style="1" customWidth="1"/>
    <col min="2564" max="2570" width="14.625" style="1" customWidth="1"/>
    <col min="2571" max="2571" width="0" style="1" hidden="1" customWidth="1"/>
    <col min="2572" max="2572" width="7.875" style="1" customWidth="1"/>
    <col min="2573" max="2573" width="17.375" style="1" customWidth="1"/>
    <col min="2574" max="2574" width="14.625" style="1" customWidth="1"/>
    <col min="2575" max="2575" width="8.5" style="1" customWidth="1"/>
    <col min="2576" max="2576" width="11" style="1"/>
    <col min="2577" max="2577" width="10.125" style="1" bestFit="1" customWidth="1"/>
    <col min="2578" max="2816" width="11" style="1"/>
    <col min="2817" max="2817" width="16" style="1" customWidth="1"/>
    <col min="2818" max="2818" width="49.625" style="1" customWidth="1"/>
    <col min="2819" max="2819" width="15.25" style="1" customWidth="1"/>
    <col min="2820" max="2826" width="14.625" style="1" customWidth="1"/>
    <col min="2827" max="2827" width="0" style="1" hidden="1" customWidth="1"/>
    <col min="2828" max="2828" width="7.875" style="1" customWidth="1"/>
    <col min="2829" max="2829" width="17.375" style="1" customWidth="1"/>
    <col min="2830" max="2830" width="14.625" style="1" customWidth="1"/>
    <col min="2831" max="2831" width="8.5" style="1" customWidth="1"/>
    <col min="2832" max="2832" width="11" style="1"/>
    <col min="2833" max="2833" width="10.125" style="1" bestFit="1" customWidth="1"/>
    <col min="2834" max="3072" width="11" style="1"/>
    <col min="3073" max="3073" width="16" style="1" customWidth="1"/>
    <col min="3074" max="3074" width="49.625" style="1" customWidth="1"/>
    <col min="3075" max="3075" width="15.25" style="1" customWidth="1"/>
    <col min="3076" max="3082" width="14.625" style="1" customWidth="1"/>
    <col min="3083" max="3083" width="0" style="1" hidden="1" customWidth="1"/>
    <col min="3084" max="3084" width="7.875" style="1" customWidth="1"/>
    <col min="3085" max="3085" width="17.375" style="1" customWidth="1"/>
    <col min="3086" max="3086" width="14.625" style="1" customWidth="1"/>
    <col min="3087" max="3087" width="8.5" style="1" customWidth="1"/>
    <col min="3088" max="3088" width="11" style="1"/>
    <col min="3089" max="3089" width="10.125" style="1" bestFit="1" customWidth="1"/>
    <col min="3090" max="3328" width="11" style="1"/>
    <col min="3329" max="3329" width="16" style="1" customWidth="1"/>
    <col min="3330" max="3330" width="49.625" style="1" customWidth="1"/>
    <col min="3331" max="3331" width="15.25" style="1" customWidth="1"/>
    <col min="3332" max="3338" width="14.625" style="1" customWidth="1"/>
    <col min="3339" max="3339" width="0" style="1" hidden="1" customWidth="1"/>
    <col min="3340" max="3340" width="7.875" style="1" customWidth="1"/>
    <col min="3341" max="3341" width="17.375" style="1" customWidth="1"/>
    <col min="3342" max="3342" width="14.625" style="1" customWidth="1"/>
    <col min="3343" max="3343" width="8.5" style="1" customWidth="1"/>
    <col min="3344" max="3344" width="11" style="1"/>
    <col min="3345" max="3345" width="10.125" style="1" bestFit="1" customWidth="1"/>
    <col min="3346" max="3584" width="11" style="1"/>
    <col min="3585" max="3585" width="16" style="1" customWidth="1"/>
    <col min="3586" max="3586" width="49.625" style="1" customWidth="1"/>
    <col min="3587" max="3587" width="15.25" style="1" customWidth="1"/>
    <col min="3588" max="3594" width="14.625" style="1" customWidth="1"/>
    <col min="3595" max="3595" width="0" style="1" hidden="1" customWidth="1"/>
    <col min="3596" max="3596" width="7.875" style="1" customWidth="1"/>
    <col min="3597" max="3597" width="17.375" style="1" customWidth="1"/>
    <col min="3598" max="3598" width="14.625" style="1" customWidth="1"/>
    <col min="3599" max="3599" width="8.5" style="1" customWidth="1"/>
    <col min="3600" max="3600" width="11" style="1"/>
    <col min="3601" max="3601" width="10.125" style="1" bestFit="1" customWidth="1"/>
    <col min="3602" max="3840" width="11" style="1"/>
    <col min="3841" max="3841" width="16" style="1" customWidth="1"/>
    <col min="3842" max="3842" width="49.625" style="1" customWidth="1"/>
    <col min="3843" max="3843" width="15.25" style="1" customWidth="1"/>
    <col min="3844" max="3850" width="14.625" style="1" customWidth="1"/>
    <col min="3851" max="3851" width="0" style="1" hidden="1" customWidth="1"/>
    <col min="3852" max="3852" width="7.875" style="1" customWidth="1"/>
    <col min="3853" max="3853" width="17.375" style="1" customWidth="1"/>
    <col min="3854" max="3854" width="14.625" style="1" customWidth="1"/>
    <col min="3855" max="3855" width="8.5" style="1" customWidth="1"/>
    <col min="3856" max="3856" width="11" style="1"/>
    <col min="3857" max="3857" width="10.125" style="1" bestFit="1" customWidth="1"/>
    <col min="3858" max="4096" width="11" style="1"/>
    <col min="4097" max="4097" width="16" style="1" customWidth="1"/>
    <col min="4098" max="4098" width="49.625" style="1" customWidth="1"/>
    <col min="4099" max="4099" width="15.25" style="1" customWidth="1"/>
    <col min="4100" max="4106" width="14.625" style="1" customWidth="1"/>
    <col min="4107" max="4107" width="0" style="1" hidden="1" customWidth="1"/>
    <col min="4108" max="4108" width="7.875" style="1" customWidth="1"/>
    <col min="4109" max="4109" width="17.375" style="1" customWidth="1"/>
    <col min="4110" max="4110" width="14.625" style="1" customWidth="1"/>
    <col min="4111" max="4111" width="8.5" style="1" customWidth="1"/>
    <col min="4112" max="4112" width="11" style="1"/>
    <col min="4113" max="4113" width="10.125" style="1" bestFit="1" customWidth="1"/>
    <col min="4114" max="4352" width="11" style="1"/>
    <col min="4353" max="4353" width="16" style="1" customWidth="1"/>
    <col min="4354" max="4354" width="49.625" style="1" customWidth="1"/>
    <col min="4355" max="4355" width="15.25" style="1" customWidth="1"/>
    <col min="4356" max="4362" width="14.625" style="1" customWidth="1"/>
    <col min="4363" max="4363" width="0" style="1" hidden="1" customWidth="1"/>
    <col min="4364" max="4364" width="7.875" style="1" customWidth="1"/>
    <col min="4365" max="4365" width="17.375" style="1" customWidth="1"/>
    <col min="4366" max="4366" width="14.625" style="1" customWidth="1"/>
    <col min="4367" max="4367" width="8.5" style="1" customWidth="1"/>
    <col min="4368" max="4368" width="11" style="1"/>
    <col min="4369" max="4369" width="10.125" style="1" bestFit="1" customWidth="1"/>
    <col min="4370" max="4608" width="11" style="1"/>
    <col min="4609" max="4609" width="16" style="1" customWidth="1"/>
    <col min="4610" max="4610" width="49.625" style="1" customWidth="1"/>
    <col min="4611" max="4611" width="15.25" style="1" customWidth="1"/>
    <col min="4612" max="4618" width="14.625" style="1" customWidth="1"/>
    <col min="4619" max="4619" width="0" style="1" hidden="1" customWidth="1"/>
    <col min="4620" max="4620" width="7.875" style="1" customWidth="1"/>
    <col min="4621" max="4621" width="17.375" style="1" customWidth="1"/>
    <col min="4622" max="4622" width="14.625" style="1" customWidth="1"/>
    <col min="4623" max="4623" width="8.5" style="1" customWidth="1"/>
    <col min="4624" max="4624" width="11" style="1"/>
    <col min="4625" max="4625" width="10.125" style="1" bestFit="1" customWidth="1"/>
    <col min="4626" max="4864" width="11" style="1"/>
    <col min="4865" max="4865" width="16" style="1" customWidth="1"/>
    <col min="4866" max="4866" width="49.625" style="1" customWidth="1"/>
    <col min="4867" max="4867" width="15.25" style="1" customWidth="1"/>
    <col min="4868" max="4874" width="14.625" style="1" customWidth="1"/>
    <col min="4875" max="4875" width="0" style="1" hidden="1" customWidth="1"/>
    <col min="4876" max="4876" width="7.875" style="1" customWidth="1"/>
    <col min="4877" max="4877" width="17.375" style="1" customWidth="1"/>
    <col min="4878" max="4878" width="14.625" style="1" customWidth="1"/>
    <col min="4879" max="4879" width="8.5" style="1" customWidth="1"/>
    <col min="4880" max="4880" width="11" style="1"/>
    <col min="4881" max="4881" width="10.125" style="1" bestFit="1" customWidth="1"/>
    <col min="4882" max="5120" width="11" style="1"/>
    <col min="5121" max="5121" width="16" style="1" customWidth="1"/>
    <col min="5122" max="5122" width="49.625" style="1" customWidth="1"/>
    <col min="5123" max="5123" width="15.25" style="1" customWidth="1"/>
    <col min="5124" max="5130" width="14.625" style="1" customWidth="1"/>
    <col min="5131" max="5131" width="0" style="1" hidden="1" customWidth="1"/>
    <col min="5132" max="5132" width="7.875" style="1" customWidth="1"/>
    <col min="5133" max="5133" width="17.375" style="1" customWidth="1"/>
    <col min="5134" max="5134" width="14.625" style="1" customWidth="1"/>
    <col min="5135" max="5135" width="8.5" style="1" customWidth="1"/>
    <col min="5136" max="5136" width="11" style="1"/>
    <col min="5137" max="5137" width="10.125" style="1" bestFit="1" customWidth="1"/>
    <col min="5138" max="5376" width="11" style="1"/>
    <col min="5377" max="5377" width="16" style="1" customWidth="1"/>
    <col min="5378" max="5378" width="49.625" style="1" customWidth="1"/>
    <col min="5379" max="5379" width="15.25" style="1" customWidth="1"/>
    <col min="5380" max="5386" width="14.625" style="1" customWidth="1"/>
    <col min="5387" max="5387" width="0" style="1" hidden="1" customWidth="1"/>
    <col min="5388" max="5388" width="7.875" style="1" customWidth="1"/>
    <col min="5389" max="5389" width="17.375" style="1" customWidth="1"/>
    <col min="5390" max="5390" width="14.625" style="1" customWidth="1"/>
    <col min="5391" max="5391" width="8.5" style="1" customWidth="1"/>
    <col min="5392" max="5392" width="11" style="1"/>
    <col min="5393" max="5393" width="10.125" style="1" bestFit="1" customWidth="1"/>
    <col min="5394" max="5632" width="11" style="1"/>
    <col min="5633" max="5633" width="16" style="1" customWidth="1"/>
    <col min="5634" max="5634" width="49.625" style="1" customWidth="1"/>
    <col min="5635" max="5635" width="15.25" style="1" customWidth="1"/>
    <col min="5636" max="5642" width="14.625" style="1" customWidth="1"/>
    <col min="5643" max="5643" width="0" style="1" hidden="1" customWidth="1"/>
    <col min="5644" max="5644" width="7.875" style="1" customWidth="1"/>
    <col min="5645" max="5645" width="17.375" style="1" customWidth="1"/>
    <col min="5646" max="5646" width="14.625" style="1" customWidth="1"/>
    <col min="5647" max="5647" width="8.5" style="1" customWidth="1"/>
    <col min="5648" max="5648" width="11" style="1"/>
    <col min="5649" max="5649" width="10.125" style="1" bestFit="1" customWidth="1"/>
    <col min="5650" max="5888" width="11" style="1"/>
    <col min="5889" max="5889" width="16" style="1" customWidth="1"/>
    <col min="5890" max="5890" width="49.625" style="1" customWidth="1"/>
    <col min="5891" max="5891" width="15.25" style="1" customWidth="1"/>
    <col min="5892" max="5898" width="14.625" style="1" customWidth="1"/>
    <col min="5899" max="5899" width="0" style="1" hidden="1" customWidth="1"/>
    <col min="5900" max="5900" width="7.875" style="1" customWidth="1"/>
    <col min="5901" max="5901" width="17.375" style="1" customWidth="1"/>
    <col min="5902" max="5902" width="14.625" style="1" customWidth="1"/>
    <col min="5903" max="5903" width="8.5" style="1" customWidth="1"/>
    <col min="5904" max="5904" width="11" style="1"/>
    <col min="5905" max="5905" width="10.125" style="1" bestFit="1" customWidth="1"/>
    <col min="5906" max="6144" width="11" style="1"/>
    <col min="6145" max="6145" width="16" style="1" customWidth="1"/>
    <col min="6146" max="6146" width="49.625" style="1" customWidth="1"/>
    <col min="6147" max="6147" width="15.25" style="1" customWidth="1"/>
    <col min="6148" max="6154" width="14.625" style="1" customWidth="1"/>
    <col min="6155" max="6155" width="0" style="1" hidden="1" customWidth="1"/>
    <col min="6156" max="6156" width="7.875" style="1" customWidth="1"/>
    <col min="6157" max="6157" width="17.375" style="1" customWidth="1"/>
    <col min="6158" max="6158" width="14.625" style="1" customWidth="1"/>
    <col min="6159" max="6159" width="8.5" style="1" customWidth="1"/>
    <col min="6160" max="6160" width="11" style="1"/>
    <col min="6161" max="6161" width="10.125" style="1" bestFit="1" customWidth="1"/>
    <col min="6162" max="6400" width="11" style="1"/>
    <col min="6401" max="6401" width="16" style="1" customWidth="1"/>
    <col min="6402" max="6402" width="49.625" style="1" customWidth="1"/>
    <col min="6403" max="6403" width="15.25" style="1" customWidth="1"/>
    <col min="6404" max="6410" width="14.625" style="1" customWidth="1"/>
    <col min="6411" max="6411" width="0" style="1" hidden="1" customWidth="1"/>
    <col min="6412" max="6412" width="7.875" style="1" customWidth="1"/>
    <col min="6413" max="6413" width="17.375" style="1" customWidth="1"/>
    <col min="6414" max="6414" width="14.625" style="1" customWidth="1"/>
    <col min="6415" max="6415" width="8.5" style="1" customWidth="1"/>
    <col min="6416" max="6416" width="11" style="1"/>
    <col min="6417" max="6417" width="10.125" style="1" bestFit="1" customWidth="1"/>
    <col min="6418" max="6656" width="11" style="1"/>
    <col min="6657" max="6657" width="16" style="1" customWidth="1"/>
    <col min="6658" max="6658" width="49.625" style="1" customWidth="1"/>
    <col min="6659" max="6659" width="15.25" style="1" customWidth="1"/>
    <col min="6660" max="6666" width="14.625" style="1" customWidth="1"/>
    <col min="6667" max="6667" width="0" style="1" hidden="1" customWidth="1"/>
    <col min="6668" max="6668" width="7.875" style="1" customWidth="1"/>
    <col min="6669" max="6669" width="17.375" style="1" customWidth="1"/>
    <col min="6670" max="6670" width="14.625" style="1" customWidth="1"/>
    <col min="6671" max="6671" width="8.5" style="1" customWidth="1"/>
    <col min="6672" max="6672" width="11" style="1"/>
    <col min="6673" max="6673" width="10.125" style="1" bestFit="1" customWidth="1"/>
    <col min="6674" max="6912" width="11" style="1"/>
    <col min="6913" max="6913" width="16" style="1" customWidth="1"/>
    <col min="6914" max="6914" width="49.625" style="1" customWidth="1"/>
    <col min="6915" max="6915" width="15.25" style="1" customWidth="1"/>
    <col min="6916" max="6922" width="14.625" style="1" customWidth="1"/>
    <col min="6923" max="6923" width="0" style="1" hidden="1" customWidth="1"/>
    <col min="6924" max="6924" width="7.875" style="1" customWidth="1"/>
    <col min="6925" max="6925" width="17.375" style="1" customWidth="1"/>
    <col min="6926" max="6926" width="14.625" style="1" customWidth="1"/>
    <col min="6927" max="6927" width="8.5" style="1" customWidth="1"/>
    <col min="6928" max="6928" width="11" style="1"/>
    <col min="6929" max="6929" width="10.125" style="1" bestFit="1" customWidth="1"/>
    <col min="6930" max="7168" width="11" style="1"/>
    <col min="7169" max="7169" width="16" style="1" customWidth="1"/>
    <col min="7170" max="7170" width="49.625" style="1" customWidth="1"/>
    <col min="7171" max="7171" width="15.25" style="1" customWidth="1"/>
    <col min="7172" max="7178" width="14.625" style="1" customWidth="1"/>
    <col min="7179" max="7179" width="0" style="1" hidden="1" customWidth="1"/>
    <col min="7180" max="7180" width="7.875" style="1" customWidth="1"/>
    <col min="7181" max="7181" width="17.375" style="1" customWidth="1"/>
    <col min="7182" max="7182" width="14.625" style="1" customWidth="1"/>
    <col min="7183" max="7183" width="8.5" style="1" customWidth="1"/>
    <col min="7184" max="7184" width="11" style="1"/>
    <col min="7185" max="7185" width="10.125" style="1" bestFit="1" customWidth="1"/>
    <col min="7186" max="7424" width="11" style="1"/>
    <col min="7425" max="7425" width="16" style="1" customWidth="1"/>
    <col min="7426" max="7426" width="49.625" style="1" customWidth="1"/>
    <col min="7427" max="7427" width="15.25" style="1" customWidth="1"/>
    <col min="7428" max="7434" width="14.625" style="1" customWidth="1"/>
    <col min="7435" max="7435" width="0" style="1" hidden="1" customWidth="1"/>
    <col min="7436" max="7436" width="7.875" style="1" customWidth="1"/>
    <col min="7437" max="7437" width="17.375" style="1" customWidth="1"/>
    <col min="7438" max="7438" width="14.625" style="1" customWidth="1"/>
    <col min="7439" max="7439" width="8.5" style="1" customWidth="1"/>
    <col min="7440" max="7440" width="11" style="1"/>
    <col min="7441" max="7441" width="10.125" style="1" bestFit="1" customWidth="1"/>
    <col min="7442" max="7680" width="11" style="1"/>
    <col min="7681" max="7681" width="16" style="1" customWidth="1"/>
    <col min="7682" max="7682" width="49.625" style="1" customWidth="1"/>
    <col min="7683" max="7683" width="15.25" style="1" customWidth="1"/>
    <col min="7684" max="7690" width="14.625" style="1" customWidth="1"/>
    <col min="7691" max="7691" width="0" style="1" hidden="1" customWidth="1"/>
    <col min="7692" max="7692" width="7.875" style="1" customWidth="1"/>
    <col min="7693" max="7693" width="17.375" style="1" customWidth="1"/>
    <col min="7694" max="7694" width="14.625" style="1" customWidth="1"/>
    <col min="7695" max="7695" width="8.5" style="1" customWidth="1"/>
    <col min="7696" max="7696" width="11" style="1"/>
    <col min="7697" max="7697" width="10.125" style="1" bestFit="1" customWidth="1"/>
    <col min="7698" max="7936" width="11" style="1"/>
    <col min="7937" max="7937" width="16" style="1" customWidth="1"/>
    <col min="7938" max="7938" width="49.625" style="1" customWidth="1"/>
    <col min="7939" max="7939" width="15.25" style="1" customWidth="1"/>
    <col min="7940" max="7946" width="14.625" style="1" customWidth="1"/>
    <col min="7947" max="7947" width="0" style="1" hidden="1" customWidth="1"/>
    <col min="7948" max="7948" width="7.875" style="1" customWidth="1"/>
    <col min="7949" max="7949" width="17.375" style="1" customWidth="1"/>
    <col min="7950" max="7950" width="14.625" style="1" customWidth="1"/>
    <col min="7951" max="7951" width="8.5" style="1" customWidth="1"/>
    <col min="7952" max="7952" width="11" style="1"/>
    <col min="7953" max="7953" width="10.125" style="1" bestFit="1" customWidth="1"/>
    <col min="7954" max="8192" width="11" style="1"/>
    <col min="8193" max="8193" width="16" style="1" customWidth="1"/>
    <col min="8194" max="8194" width="49.625" style="1" customWidth="1"/>
    <col min="8195" max="8195" width="15.25" style="1" customWidth="1"/>
    <col min="8196" max="8202" width="14.625" style="1" customWidth="1"/>
    <col min="8203" max="8203" width="0" style="1" hidden="1" customWidth="1"/>
    <col min="8204" max="8204" width="7.875" style="1" customWidth="1"/>
    <col min="8205" max="8205" width="17.375" style="1" customWidth="1"/>
    <col min="8206" max="8206" width="14.625" style="1" customWidth="1"/>
    <col min="8207" max="8207" width="8.5" style="1" customWidth="1"/>
    <col min="8208" max="8208" width="11" style="1"/>
    <col min="8209" max="8209" width="10.125" style="1" bestFit="1" customWidth="1"/>
    <col min="8210" max="8448" width="11" style="1"/>
    <col min="8449" max="8449" width="16" style="1" customWidth="1"/>
    <col min="8450" max="8450" width="49.625" style="1" customWidth="1"/>
    <col min="8451" max="8451" width="15.25" style="1" customWidth="1"/>
    <col min="8452" max="8458" width="14.625" style="1" customWidth="1"/>
    <col min="8459" max="8459" width="0" style="1" hidden="1" customWidth="1"/>
    <col min="8460" max="8460" width="7.875" style="1" customWidth="1"/>
    <col min="8461" max="8461" width="17.375" style="1" customWidth="1"/>
    <col min="8462" max="8462" width="14.625" style="1" customWidth="1"/>
    <col min="8463" max="8463" width="8.5" style="1" customWidth="1"/>
    <col min="8464" max="8464" width="11" style="1"/>
    <col min="8465" max="8465" width="10.125" style="1" bestFit="1" customWidth="1"/>
    <col min="8466" max="8704" width="11" style="1"/>
    <col min="8705" max="8705" width="16" style="1" customWidth="1"/>
    <col min="8706" max="8706" width="49.625" style="1" customWidth="1"/>
    <col min="8707" max="8707" width="15.25" style="1" customWidth="1"/>
    <col min="8708" max="8714" width="14.625" style="1" customWidth="1"/>
    <col min="8715" max="8715" width="0" style="1" hidden="1" customWidth="1"/>
    <col min="8716" max="8716" width="7.875" style="1" customWidth="1"/>
    <col min="8717" max="8717" width="17.375" style="1" customWidth="1"/>
    <col min="8718" max="8718" width="14.625" style="1" customWidth="1"/>
    <col min="8719" max="8719" width="8.5" style="1" customWidth="1"/>
    <col min="8720" max="8720" width="11" style="1"/>
    <col min="8721" max="8721" width="10.125" style="1" bestFit="1" customWidth="1"/>
    <col min="8722" max="8960" width="11" style="1"/>
    <col min="8961" max="8961" width="16" style="1" customWidth="1"/>
    <col min="8962" max="8962" width="49.625" style="1" customWidth="1"/>
    <col min="8963" max="8963" width="15.25" style="1" customWidth="1"/>
    <col min="8964" max="8970" width="14.625" style="1" customWidth="1"/>
    <col min="8971" max="8971" width="0" style="1" hidden="1" customWidth="1"/>
    <col min="8972" max="8972" width="7.875" style="1" customWidth="1"/>
    <col min="8973" max="8973" width="17.375" style="1" customWidth="1"/>
    <col min="8974" max="8974" width="14.625" style="1" customWidth="1"/>
    <col min="8975" max="8975" width="8.5" style="1" customWidth="1"/>
    <col min="8976" max="8976" width="11" style="1"/>
    <col min="8977" max="8977" width="10.125" style="1" bestFit="1" customWidth="1"/>
    <col min="8978" max="9216" width="11" style="1"/>
    <col min="9217" max="9217" width="16" style="1" customWidth="1"/>
    <col min="9218" max="9218" width="49.625" style="1" customWidth="1"/>
    <col min="9219" max="9219" width="15.25" style="1" customWidth="1"/>
    <col min="9220" max="9226" width="14.625" style="1" customWidth="1"/>
    <col min="9227" max="9227" width="0" style="1" hidden="1" customWidth="1"/>
    <col min="9228" max="9228" width="7.875" style="1" customWidth="1"/>
    <col min="9229" max="9229" width="17.375" style="1" customWidth="1"/>
    <col min="9230" max="9230" width="14.625" style="1" customWidth="1"/>
    <col min="9231" max="9231" width="8.5" style="1" customWidth="1"/>
    <col min="9232" max="9232" width="11" style="1"/>
    <col min="9233" max="9233" width="10.125" style="1" bestFit="1" customWidth="1"/>
    <col min="9234" max="9472" width="11" style="1"/>
    <col min="9473" max="9473" width="16" style="1" customWidth="1"/>
    <col min="9474" max="9474" width="49.625" style="1" customWidth="1"/>
    <col min="9475" max="9475" width="15.25" style="1" customWidth="1"/>
    <col min="9476" max="9482" width="14.625" style="1" customWidth="1"/>
    <col min="9483" max="9483" width="0" style="1" hidden="1" customWidth="1"/>
    <col min="9484" max="9484" width="7.875" style="1" customWidth="1"/>
    <col min="9485" max="9485" width="17.375" style="1" customWidth="1"/>
    <col min="9486" max="9486" width="14.625" style="1" customWidth="1"/>
    <col min="9487" max="9487" width="8.5" style="1" customWidth="1"/>
    <col min="9488" max="9488" width="11" style="1"/>
    <col min="9489" max="9489" width="10.125" style="1" bestFit="1" customWidth="1"/>
    <col min="9490" max="9728" width="11" style="1"/>
    <col min="9729" max="9729" width="16" style="1" customWidth="1"/>
    <col min="9730" max="9730" width="49.625" style="1" customWidth="1"/>
    <col min="9731" max="9731" width="15.25" style="1" customWidth="1"/>
    <col min="9732" max="9738" width="14.625" style="1" customWidth="1"/>
    <col min="9739" max="9739" width="0" style="1" hidden="1" customWidth="1"/>
    <col min="9740" max="9740" width="7.875" style="1" customWidth="1"/>
    <col min="9741" max="9741" width="17.375" style="1" customWidth="1"/>
    <col min="9742" max="9742" width="14.625" style="1" customWidth="1"/>
    <col min="9743" max="9743" width="8.5" style="1" customWidth="1"/>
    <col min="9744" max="9744" width="11" style="1"/>
    <col min="9745" max="9745" width="10.125" style="1" bestFit="1" customWidth="1"/>
    <col min="9746" max="9984" width="11" style="1"/>
    <col min="9985" max="9985" width="16" style="1" customWidth="1"/>
    <col min="9986" max="9986" width="49.625" style="1" customWidth="1"/>
    <col min="9987" max="9987" width="15.25" style="1" customWidth="1"/>
    <col min="9988" max="9994" width="14.625" style="1" customWidth="1"/>
    <col min="9995" max="9995" width="0" style="1" hidden="1" customWidth="1"/>
    <col min="9996" max="9996" width="7.875" style="1" customWidth="1"/>
    <col min="9997" max="9997" width="17.375" style="1" customWidth="1"/>
    <col min="9998" max="9998" width="14.625" style="1" customWidth="1"/>
    <col min="9999" max="9999" width="8.5" style="1" customWidth="1"/>
    <col min="10000" max="10000" width="11" style="1"/>
    <col min="10001" max="10001" width="10.125" style="1" bestFit="1" customWidth="1"/>
    <col min="10002" max="10240" width="11" style="1"/>
    <col min="10241" max="10241" width="16" style="1" customWidth="1"/>
    <col min="10242" max="10242" width="49.625" style="1" customWidth="1"/>
    <col min="10243" max="10243" width="15.25" style="1" customWidth="1"/>
    <col min="10244" max="10250" width="14.625" style="1" customWidth="1"/>
    <col min="10251" max="10251" width="0" style="1" hidden="1" customWidth="1"/>
    <col min="10252" max="10252" width="7.875" style="1" customWidth="1"/>
    <col min="10253" max="10253" width="17.375" style="1" customWidth="1"/>
    <col min="10254" max="10254" width="14.625" style="1" customWidth="1"/>
    <col min="10255" max="10255" width="8.5" style="1" customWidth="1"/>
    <col min="10256" max="10256" width="11" style="1"/>
    <col min="10257" max="10257" width="10.125" style="1" bestFit="1" customWidth="1"/>
    <col min="10258" max="10496" width="11" style="1"/>
    <col min="10497" max="10497" width="16" style="1" customWidth="1"/>
    <col min="10498" max="10498" width="49.625" style="1" customWidth="1"/>
    <col min="10499" max="10499" width="15.25" style="1" customWidth="1"/>
    <col min="10500" max="10506" width="14.625" style="1" customWidth="1"/>
    <col min="10507" max="10507" width="0" style="1" hidden="1" customWidth="1"/>
    <col min="10508" max="10508" width="7.875" style="1" customWidth="1"/>
    <col min="10509" max="10509" width="17.375" style="1" customWidth="1"/>
    <col min="10510" max="10510" width="14.625" style="1" customWidth="1"/>
    <col min="10511" max="10511" width="8.5" style="1" customWidth="1"/>
    <col min="10512" max="10512" width="11" style="1"/>
    <col min="10513" max="10513" width="10.125" style="1" bestFit="1" customWidth="1"/>
    <col min="10514" max="10752" width="11" style="1"/>
    <col min="10753" max="10753" width="16" style="1" customWidth="1"/>
    <col min="10754" max="10754" width="49.625" style="1" customWidth="1"/>
    <col min="10755" max="10755" width="15.25" style="1" customWidth="1"/>
    <col min="10756" max="10762" width="14.625" style="1" customWidth="1"/>
    <col min="10763" max="10763" width="0" style="1" hidden="1" customWidth="1"/>
    <col min="10764" max="10764" width="7.875" style="1" customWidth="1"/>
    <col min="10765" max="10765" width="17.375" style="1" customWidth="1"/>
    <col min="10766" max="10766" width="14.625" style="1" customWidth="1"/>
    <col min="10767" max="10767" width="8.5" style="1" customWidth="1"/>
    <col min="10768" max="10768" width="11" style="1"/>
    <col min="10769" max="10769" width="10.125" style="1" bestFit="1" customWidth="1"/>
    <col min="10770" max="11008" width="11" style="1"/>
    <col min="11009" max="11009" width="16" style="1" customWidth="1"/>
    <col min="11010" max="11010" width="49.625" style="1" customWidth="1"/>
    <col min="11011" max="11011" width="15.25" style="1" customWidth="1"/>
    <col min="11012" max="11018" width="14.625" style="1" customWidth="1"/>
    <col min="11019" max="11019" width="0" style="1" hidden="1" customWidth="1"/>
    <col min="11020" max="11020" width="7.875" style="1" customWidth="1"/>
    <col min="11021" max="11021" width="17.375" style="1" customWidth="1"/>
    <col min="11022" max="11022" width="14.625" style="1" customWidth="1"/>
    <col min="11023" max="11023" width="8.5" style="1" customWidth="1"/>
    <col min="11024" max="11024" width="11" style="1"/>
    <col min="11025" max="11025" width="10.125" style="1" bestFit="1" customWidth="1"/>
    <col min="11026" max="11264" width="11" style="1"/>
    <col min="11265" max="11265" width="16" style="1" customWidth="1"/>
    <col min="11266" max="11266" width="49.625" style="1" customWidth="1"/>
    <col min="11267" max="11267" width="15.25" style="1" customWidth="1"/>
    <col min="11268" max="11274" width="14.625" style="1" customWidth="1"/>
    <col min="11275" max="11275" width="0" style="1" hidden="1" customWidth="1"/>
    <col min="11276" max="11276" width="7.875" style="1" customWidth="1"/>
    <col min="11277" max="11277" width="17.375" style="1" customWidth="1"/>
    <col min="11278" max="11278" width="14.625" style="1" customWidth="1"/>
    <col min="11279" max="11279" width="8.5" style="1" customWidth="1"/>
    <col min="11280" max="11280" width="11" style="1"/>
    <col min="11281" max="11281" width="10.125" style="1" bestFit="1" customWidth="1"/>
    <col min="11282" max="11520" width="11" style="1"/>
    <col min="11521" max="11521" width="16" style="1" customWidth="1"/>
    <col min="11522" max="11522" width="49.625" style="1" customWidth="1"/>
    <col min="11523" max="11523" width="15.25" style="1" customWidth="1"/>
    <col min="11524" max="11530" width="14.625" style="1" customWidth="1"/>
    <col min="11531" max="11531" width="0" style="1" hidden="1" customWidth="1"/>
    <col min="11532" max="11532" width="7.875" style="1" customWidth="1"/>
    <col min="11533" max="11533" width="17.375" style="1" customWidth="1"/>
    <col min="11534" max="11534" width="14.625" style="1" customWidth="1"/>
    <col min="11535" max="11535" width="8.5" style="1" customWidth="1"/>
    <col min="11536" max="11536" width="11" style="1"/>
    <col min="11537" max="11537" width="10.125" style="1" bestFit="1" customWidth="1"/>
    <col min="11538" max="11776" width="11" style="1"/>
    <col min="11777" max="11777" width="16" style="1" customWidth="1"/>
    <col min="11778" max="11778" width="49.625" style="1" customWidth="1"/>
    <col min="11779" max="11779" width="15.25" style="1" customWidth="1"/>
    <col min="11780" max="11786" width="14.625" style="1" customWidth="1"/>
    <col min="11787" max="11787" width="0" style="1" hidden="1" customWidth="1"/>
    <col min="11788" max="11788" width="7.875" style="1" customWidth="1"/>
    <col min="11789" max="11789" width="17.375" style="1" customWidth="1"/>
    <col min="11790" max="11790" width="14.625" style="1" customWidth="1"/>
    <col min="11791" max="11791" width="8.5" style="1" customWidth="1"/>
    <col min="11792" max="11792" width="11" style="1"/>
    <col min="11793" max="11793" width="10.125" style="1" bestFit="1" customWidth="1"/>
    <col min="11794" max="12032" width="11" style="1"/>
    <col min="12033" max="12033" width="16" style="1" customWidth="1"/>
    <col min="12034" max="12034" width="49.625" style="1" customWidth="1"/>
    <col min="12035" max="12035" width="15.25" style="1" customWidth="1"/>
    <col min="12036" max="12042" width="14.625" style="1" customWidth="1"/>
    <col min="12043" max="12043" width="0" style="1" hidden="1" customWidth="1"/>
    <col min="12044" max="12044" width="7.875" style="1" customWidth="1"/>
    <col min="12045" max="12045" width="17.375" style="1" customWidth="1"/>
    <col min="12046" max="12046" width="14.625" style="1" customWidth="1"/>
    <col min="12047" max="12047" width="8.5" style="1" customWidth="1"/>
    <col min="12048" max="12048" width="11" style="1"/>
    <col min="12049" max="12049" width="10.125" style="1" bestFit="1" customWidth="1"/>
    <col min="12050" max="12288" width="11" style="1"/>
    <col min="12289" max="12289" width="16" style="1" customWidth="1"/>
    <col min="12290" max="12290" width="49.625" style="1" customWidth="1"/>
    <col min="12291" max="12291" width="15.25" style="1" customWidth="1"/>
    <col min="12292" max="12298" width="14.625" style="1" customWidth="1"/>
    <col min="12299" max="12299" width="0" style="1" hidden="1" customWidth="1"/>
    <col min="12300" max="12300" width="7.875" style="1" customWidth="1"/>
    <col min="12301" max="12301" width="17.375" style="1" customWidth="1"/>
    <col min="12302" max="12302" width="14.625" style="1" customWidth="1"/>
    <col min="12303" max="12303" width="8.5" style="1" customWidth="1"/>
    <col min="12304" max="12304" width="11" style="1"/>
    <col min="12305" max="12305" width="10.125" style="1" bestFit="1" customWidth="1"/>
    <col min="12306" max="12544" width="11" style="1"/>
    <col min="12545" max="12545" width="16" style="1" customWidth="1"/>
    <col min="12546" max="12546" width="49.625" style="1" customWidth="1"/>
    <col min="12547" max="12547" width="15.25" style="1" customWidth="1"/>
    <col min="12548" max="12554" width="14.625" style="1" customWidth="1"/>
    <col min="12555" max="12555" width="0" style="1" hidden="1" customWidth="1"/>
    <col min="12556" max="12556" width="7.875" style="1" customWidth="1"/>
    <col min="12557" max="12557" width="17.375" style="1" customWidth="1"/>
    <col min="12558" max="12558" width="14.625" style="1" customWidth="1"/>
    <col min="12559" max="12559" width="8.5" style="1" customWidth="1"/>
    <col min="12560" max="12560" width="11" style="1"/>
    <col min="12561" max="12561" width="10.125" style="1" bestFit="1" customWidth="1"/>
    <col min="12562" max="12800" width="11" style="1"/>
    <col min="12801" max="12801" width="16" style="1" customWidth="1"/>
    <col min="12802" max="12802" width="49.625" style="1" customWidth="1"/>
    <col min="12803" max="12803" width="15.25" style="1" customWidth="1"/>
    <col min="12804" max="12810" width="14.625" style="1" customWidth="1"/>
    <col min="12811" max="12811" width="0" style="1" hidden="1" customWidth="1"/>
    <col min="12812" max="12812" width="7.875" style="1" customWidth="1"/>
    <col min="12813" max="12813" width="17.375" style="1" customWidth="1"/>
    <col min="12814" max="12814" width="14.625" style="1" customWidth="1"/>
    <col min="12815" max="12815" width="8.5" style="1" customWidth="1"/>
    <col min="12816" max="12816" width="11" style="1"/>
    <col min="12817" max="12817" width="10.125" style="1" bestFit="1" customWidth="1"/>
    <col min="12818" max="13056" width="11" style="1"/>
    <col min="13057" max="13057" width="16" style="1" customWidth="1"/>
    <col min="13058" max="13058" width="49.625" style="1" customWidth="1"/>
    <col min="13059" max="13059" width="15.25" style="1" customWidth="1"/>
    <col min="13060" max="13066" width="14.625" style="1" customWidth="1"/>
    <col min="13067" max="13067" width="0" style="1" hidden="1" customWidth="1"/>
    <col min="13068" max="13068" width="7.875" style="1" customWidth="1"/>
    <col min="13069" max="13069" width="17.375" style="1" customWidth="1"/>
    <col min="13070" max="13070" width="14.625" style="1" customWidth="1"/>
    <col min="13071" max="13071" width="8.5" style="1" customWidth="1"/>
    <col min="13072" max="13072" width="11" style="1"/>
    <col min="13073" max="13073" width="10.125" style="1" bestFit="1" customWidth="1"/>
    <col min="13074" max="13312" width="11" style="1"/>
    <col min="13313" max="13313" width="16" style="1" customWidth="1"/>
    <col min="13314" max="13314" width="49.625" style="1" customWidth="1"/>
    <col min="13315" max="13315" width="15.25" style="1" customWidth="1"/>
    <col min="13316" max="13322" width="14.625" style="1" customWidth="1"/>
    <col min="13323" max="13323" width="0" style="1" hidden="1" customWidth="1"/>
    <col min="13324" max="13324" width="7.875" style="1" customWidth="1"/>
    <col min="13325" max="13325" width="17.375" style="1" customWidth="1"/>
    <col min="13326" max="13326" width="14.625" style="1" customWidth="1"/>
    <col min="13327" max="13327" width="8.5" style="1" customWidth="1"/>
    <col min="13328" max="13328" width="11" style="1"/>
    <col min="13329" max="13329" width="10.125" style="1" bestFit="1" customWidth="1"/>
    <col min="13330" max="13568" width="11" style="1"/>
    <col min="13569" max="13569" width="16" style="1" customWidth="1"/>
    <col min="13570" max="13570" width="49.625" style="1" customWidth="1"/>
    <col min="13571" max="13571" width="15.25" style="1" customWidth="1"/>
    <col min="13572" max="13578" width="14.625" style="1" customWidth="1"/>
    <col min="13579" max="13579" width="0" style="1" hidden="1" customWidth="1"/>
    <col min="13580" max="13580" width="7.875" style="1" customWidth="1"/>
    <col min="13581" max="13581" width="17.375" style="1" customWidth="1"/>
    <col min="13582" max="13582" width="14.625" style="1" customWidth="1"/>
    <col min="13583" max="13583" width="8.5" style="1" customWidth="1"/>
    <col min="13584" max="13584" width="11" style="1"/>
    <col min="13585" max="13585" width="10.125" style="1" bestFit="1" customWidth="1"/>
    <col min="13586" max="13824" width="11" style="1"/>
    <col min="13825" max="13825" width="16" style="1" customWidth="1"/>
    <col min="13826" max="13826" width="49.625" style="1" customWidth="1"/>
    <col min="13827" max="13827" width="15.25" style="1" customWidth="1"/>
    <col min="13828" max="13834" width="14.625" style="1" customWidth="1"/>
    <col min="13835" max="13835" width="0" style="1" hidden="1" customWidth="1"/>
    <col min="13836" max="13836" width="7.875" style="1" customWidth="1"/>
    <col min="13837" max="13837" width="17.375" style="1" customWidth="1"/>
    <col min="13838" max="13838" width="14.625" style="1" customWidth="1"/>
    <col min="13839" max="13839" width="8.5" style="1" customWidth="1"/>
    <col min="13840" max="13840" width="11" style="1"/>
    <col min="13841" max="13841" width="10.125" style="1" bestFit="1" customWidth="1"/>
    <col min="13842" max="14080" width="11" style="1"/>
    <col min="14081" max="14081" width="16" style="1" customWidth="1"/>
    <col min="14082" max="14082" width="49.625" style="1" customWidth="1"/>
    <col min="14083" max="14083" width="15.25" style="1" customWidth="1"/>
    <col min="14084" max="14090" width="14.625" style="1" customWidth="1"/>
    <col min="14091" max="14091" width="0" style="1" hidden="1" customWidth="1"/>
    <col min="14092" max="14092" width="7.875" style="1" customWidth="1"/>
    <col min="14093" max="14093" width="17.375" style="1" customWidth="1"/>
    <col min="14094" max="14094" width="14.625" style="1" customWidth="1"/>
    <col min="14095" max="14095" width="8.5" style="1" customWidth="1"/>
    <col min="14096" max="14096" width="11" style="1"/>
    <col min="14097" max="14097" width="10.125" style="1" bestFit="1" customWidth="1"/>
    <col min="14098" max="14336" width="11" style="1"/>
    <col min="14337" max="14337" width="16" style="1" customWidth="1"/>
    <col min="14338" max="14338" width="49.625" style="1" customWidth="1"/>
    <col min="14339" max="14339" width="15.25" style="1" customWidth="1"/>
    <col min="14340" max="14346" width="14.625" style="1" customWidth="1"/>
    <col min="14347" max="14347" width="0" style="1" hidden="1" customWidth="1"/>
    <col min="14348" max="14348" width="7.875" style="1" customWidth="1"/>
    <col min="14349" max="14349" width="17.375" style="1" customWidth="1"/>
    <col min="14350" max="14350" width="14.625" style="1" customWidth="1"/>
    <col min="14351" max="14351" width="8.5" style="1" customWidth="1"/>
    <col min="14352" max="14352" width="11" style="1"/>
    <col min="14353" max="14353" width="10.125" style="1" bestFit="1" customWidth="1"/>
    <col min="14354" max="14592" width="11" style="1"/>
    <col min="14593" max="14593" width="16" style="1" customWidth="1"/>
    <col min="14594" max="14594" width="49.625" style="1" customWidth="1"/>
    <col min="14595" max="14595" width="15.25" style="1" customWidth="1"/>
    <col min="14596" max="14602" width="14.625" style="1" customWidth="1"/>
    <col min="14603" max="14603" width="0" style="1" hidden="1" customWidth="1"/>
    <col min="14604" max="14604" width="7.875" style="1" customWidth="1"/>
    <col min="14605" max="14605" width="17.375" style="1" customWidth="1"/>
    <col min="14606" max="14606" width="14.625" style="1" customWidth="1"/>
    <col min="14607" max="14607" width="8.5" style="1" customWidth="1"/>
    <col min="14608" max="14608" width="11" style="1"/>
    <col min="14609" max="14609" width="10.125" style="1" bestFit="1" customWidth="1"/>
    <col min="14610" max="14848" width="11" style="1"/>
    <col min="14849" max="14849" width="16" style="1" customWidth="1"/>
    <col min="14850" max="14850" width="49.625" style="1" customWidth="1"/>
    <col min="14851" max="14851" width="15.25" style="1" customWidth="1"/>
    <col min="14852" max="14858" width="14.625" style="1" customWidth="1"/>
    <col min="14859" max="14859" width="0" style="1" hidden="1" customWidth="1"/>
    <col min="14860" max="14860" width="7.875" style="1" customWidth="1"/>
    <col min="14861" max="14861" width="17.375" style="1" customWidth="1"/>
    <col min="14862" max="14862" width="14.625" style="1" customWidth="1"/>
    <col min="14863" max="14863" width="8.5" style="1" customWidth="1"/>
    <col min="14864" max="14864" width="11" style="1"/>
    <col min="14865" max="14865" width="10.125" style="1" bestFit="1" customWidth="1"/>
    <col min="14866" max="15104" width="11" style="1"/>
    <col min="15105" max="15105" width="16" style="1" customWidth="1"/>
    <col min="15106" max="15106" width="49.625" style="1" customWidth="1"/>
    <col min="15107" max="15107" width="15.25" style="1" customWidth="1"/>
    <col min="15108" max="15114" width="14.625" style="1" customWidth="1"/>
    <col min="15115" max="15115" width="0" style="1" hidden="1" customWidth="1"/>
    <col min="15116" max="15116" width="7.875" style="1" customWidth="1"/>
    <col min="15117" max="15117" width="17.375" style="1" customWidth="1"/>
    <col min="15118" max="15118" width="14.625" style="1" customWidth="1"/>
    <col min="15119" max="15119" width="8.5" style="1" customWidth="1"/>
    <col min="15120" max="15120" width="11" style="1"/>
    <col min="15121" max="15121" width="10.125" style="1" bestFit="1" customWidth="1"/>
    <col min="15122" max="15360" width="11" style="1"/>
    <col min="15361" max="15361" width="16" style="1" customWidth="1"/>
    <col min="15362" max="15362" width="49.625" style="1" customWidth="1"/>
    <col min="15363" max="15363" width="15.25" style="1" customWidth="1"/>
    <col min="15364" max="15370" width="14.625" style="1" customWidth="1"/>
    <col min="15371" max="15371" width="0" style="1" hidden="1" customWidth="1"/>
    <col min="15372" max="15372" width="7.875" style="1" customWidth="1"/>
    <col min="15373" max="15373" width="17.375" style="1" customWidth="1"/>
    <col min="15374" max="15374" width="14.625" style="1" customWidth="1"/>
    <col min="15375" max="15375" width="8.5" style="1" customWidth="1"/>
    <col min="15376" max="15376" width="11" style="1"/>
    <col min="15377" max="15377" width="10.125" style="1" bestFit="1" customWidth="1"/>
    <col min="15378" max="15616" width="11" style="1"/>
    <col min="15617" max="15617" width="16" style="1" customWidth="1"/>
    <col min="15618" max="15618" width="49.625" style="1" customWidth="1"/>
    <col min="15619" max="15619" width="15.25" style="1" customWidth="1"/>
    <col min="15620" max="15626" width="14.625" style="1" customWidth="1"/>
    <col min="15627" max="15627" width="0" style="1" hidden="1" customWidth="1"/>
    <col min="15628" max="15628" width="7.875" style="1" customWidth="1"/>
    <col min="15629" max="15629" width="17.375" style="1" customWidth="1"/>
    <col min="15630" max="15630" width="14.625" style="1" customWidth="1"/>
    <col min="15631" max="15631" width="8.5" style="1" customWidth="1"/>
    <col min="15632" max="15632" width="11" style="1"/>
    <col min="15633" max="15633" width="10.125" style="1" bestFit="1" customWidth="1"/>
    <col min="15634" max="15872" width="11" style="1"/>
    <col min="15873" max="15873" width="16" style="1" customWidth="1"/>
    <col min="15874" max="15874" width="49.625" style="1" customWidth="1"/>
    <col min="15875" max="15875" width="15.25" style="1" customWidth="1"/>
    <col min="15876" max="15882" width="14.625" style="1" customWidth="1"/>
    <col min="15883" max="15883" width="0" style="1" hidden="1" customWidth="1"/>
    <col min="15884" max="15884" width="7.875" style="1" customWidth="1"/>
    <col min="15885" max="15885" width="17.375" style="1" customWidth="1"/>
    <col min="15886" max="15886" width="14.625" style="1" customWidth="1"/>
    <col min="15887" max="15887" width="8.5" style="1" customWidth="1"/>
    <col min="15888" max="15888" width="11" style="1"/>
    <col min="15889" max="15889" width="10.125" style="1" bestFit="1" customWidth="1"/>
    <col min="15890" max="16128" width="11" style="1"/>
    <col min="16129" max="16129" width="16" style="1" customWidth="1"/>
    <col min="16130" max="16130" width="49.625" style="1" customWidth="1"/>
    <col min="16131" max="16131" width="15.25" style="1" customWidth="1"/>
    <col min="16132" max="16138" width="14.625" style="1" customWidth="1"/>
    <col min="16139" max="16139" width="0" style="1" hidden="1" customWidth="1"/>
    <col min="16140" max="16140" width="7.875" style="1" customWidth="1"/>
    <col min="16141" max="16141" width="17.375" style="1" customWidth="1"/>
    <col min="16142" max="16142" width="14.625" style="1" customWidth="1"/>
    <col min="16143" max="16143" width="8.5" style="1" customWidth="1"/>
    <col min="16144" max="16144" width="11" style="1"/>
    <col min="16145" max="16145" width="10.125" style="1" bestFit="1" customWidth="1"/>
    <col min="16146" max="16384" width="11" style="1"/>
  </cols>
  <sheetData>
    <row r="1" spans="1:15" ht="18" x14ac:dyDescent="0.2">
      <c r="A1" s="195" t="s">
        <v>0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</row>
    <row r="2" spans="1:15" ht="18" x14ac:dyDescent="0.25">
      <c r="A2" s="196" t="s">
        <v>1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</row>
    <row r="3" spans="1:15" ht="18" x14ac:dyDescent="0.25">
      <c r="A3" s="196" t="s">
        <v>2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</row>
    <row r="4" spans="1:15" ht="18.75" thickBot="1" x14ac:dyDescent="0.3">
      <c r="A4" s="2"/>
      <c r="B4" s="4"/>
      <c r="C4" s="4"/>
      <c r="D4" s="4"/>
      <c r="E4" s="6"/>
      <c r="F4" s="6"/>
      <c r="G4" s="4"/>
      <c r="H4" s="4"/>
      <c r="I4" s="4"/>
      <c r="J4" s="4"/>
      <c r="K4" s="4"/>
      <c r="L4" s="4"/>
      <c r="M4" s="5"/>
      <c r="N4" s="4"/>
      <c r="O4" s="3"/>
    </row>
    <row r="5" spans="1:15" s="77" customFormat="1" ht="18" x14ac:dyDescent="0.2">
      <c r="A5" s="96" t="s">
        <v>3</v>
      </c>
      <c r="B5" s="97" t="s">
        <v>4</v>
      </c>
      <c r="C5" s="98" t="s">
        <v>5</v>
      </c>
      <c r="D5" s="99" t="s">
        <v>6</v>
      </c>
      <c r="E5" s="100" t="s">
        <v>7</v>
      </c>
      <c r="F5" s="100" t="s">
        <v>8</v>
      </c>
      <c r="G5" s="98" t="s">
        <v>9</v>
      </c>
      <c r="H5" s="99" t="s">
        <v>10</v>
      </c>
      <c r="I5" s="100" t="s">
        <v>11</v>
      </c>
      <c r="J5" s="98" t="s">
        <v>12</v>
      </c>
      <c r="K5" s="99" t="s">
        <v>13</v>
      </c>
      <c r="L5" s="100" t="s">
        <v>14</v>
      </c>
      <c r="M5" s="101" t="s">
        <v>10</v>
      </c>
      <c r="N5" s="98" t="s">
        <v>15</v>
      </c>
      <c r="O5" s="102" t="s">
        <v>14</v>
      </c>
    </row>
    <row r="6" spans="1:15" s="77" customFormat="1" ht="18.75" thickBot="1" x14ac:dyDescent="0.25">
      <c r="A6" s="103"/>
      <c r="B6" s="104"/>
      <c r="C6" s="105" t="s">
        <v>16</v>
      </c>
      <c r="D6" s="106"/>
      <c r="E6" s="107"/>
      <c r="F6" s="107"/>
      <c r="G6" s="105" t="s">
        <v>8</v>
      </c>
      <c r="H6" s="106" t="s">
        <v>5</v>
      </c>
      <c r="I6" s="108" t="s">
        <v>17</v>
      </c>
      <c r="J6" s="105" t="s">
        <v>18</v>
      </c>
      <c r="K6" s="106" t="s">
        <v>19</v>
      </c>
      <c r="L6" s="108"/>
      <c r="M6" s="109" t="s">
        <v>19</v>
      </c>
      <c r="N6" s="105" t="s">
        <v>20</v>
      </c>
      <c r="O6" s="110"/>
    </row>
    <row r="7" spans="1:15" ht="15" x14ac:dyDescent="0.25">
      <c r="A7" s="7"/>
      <c r="B7" s="8"/>
      <c r="C7" s="9"/>
      <c r="D7" s="9"/>
      <c r="E7" s="10"/>
      <c r="F7" s="10"/>
      <c r="G7" s="9"/>
      <c r="H7" s="9"/>
      <c r="I7" s="11"/>
      <c r="J7" s="9"/>
      <c r="K7" s="9"/>
      <c r="L7" s="9"/>
      <c r="M7" s="12"/>
      <c r="N7" s="13"/>
      <c r="O7" s="14"/>
    </row>
    <row r="8" spans="1:15" s="77" customFormat="1" ht="27.75" customHeight="1" x14ac:dyDescent="0.2">
      <c r="A8" s="114" t="s">
        <v>21</v>
      </c>
      <c r="B8" s="115" t="s">
        <v>22</v>
      </c>
      <c r="C8" s="112">
        <f>C9+C10+C11+C12+C13+C14+C15+C16+C17</f>
        <v>647432879</v>
      </c>
      <c r="D8" s="112">
        <f>D9</f>
        <v>0</v>
      </c>
      <c r="E8" s="112">
        <f t="shared" ref="E8:K8" si="0">E9+E10+E11+E12+E13+E14+E15+E16+E17</f>
        <v>0</v>
      </c>
      <c r="F8" s="112">
        <f t="shared" si="0"/>
        <v>0</v>
      </c>
      <c r="G8" s="112">
        <f t="shared" si="0"/>
        <v>0</v>
      </c>
      <c r="H8" s="112">
        <f t="shared" si="0"/>
        <v>647432879</v>
      </c>
      <c r="I8" s="112">
        <f t="shared" si="0"/>
        <v>0</v>
      </c>
      <c r="J8" s="112">
        <f t="shared" si="0"/>
        <v>46142831</v>
      </c>
      <c r="K8" s="112">
        <f t="shared" si="0"/>
        <v>46142831</v>
      </c>
      <c r="L8" s="116">
        <f t="shared" ref="L8:L58" si="1">K8/H8</f>
        <v>7.1270447480626012E-2</v>
      </c>
      <c r="M8" s="117">
        <f>M9+M10+M11+M12+M13+M14+M15+M16+M17</f>
        <v>46142831</v>
      </c>
      <c r="N8" s="112">
        <f>SUM(N9:N17)</f>
        <v>601290048</v>
      </c>
      <c r="O8" s="118">
        <f t="shared" ref="O8:O32" si="2">N8/H8</f>
        <v>0.92872955251937395</v>
      </c>
    </row>
    <row r="9" spans="1:15" ht="15" x14ac:dyDescent="0.25">
      <c r="A9" s="19" t="s">
        <v>23</v>
      </c>
      <c r="B9" s="20" t="s">
        <v>24</v>
      </c>
      <c r="C9" s="21">
        <v>491332879</v>
      </c>
      <c r="D9" s="22"/>
      <c r="E9" s="23"/>
      <c r="F9" s="24"/>
      <c r="G9" s="125"/>
      <c r="H9" s="21">
        <f>C9-D9+E9+F9-G9</f>
        <v>491332879</v>
      </c>
      <c r="I9" s="22"/>
      <c r="J9" s="22">
        <v>38517526</v>
      </c>
      <c r="K9" s="21">
        <f>SUM(I9:J9)</f>
        <v>38517526</v>
      </c>
      <c r="L9" s="16">
        <f t="shared" si="1"/>
        <v>7.8393951730635153E-2</v>
      </c>
      <c r="M9" s="25">
        <f t="shared" ref="M9:M57" si="3">J9+I9</f>
        <v>38517526</v>
      </c>
      <c r="N9" s="26">
        <f t="shared" ref="N9:N17" si="4">H9-K9</f>
        <v>452815353</v>
      </c>
      <c r="O9" s="18">
        <f t="shared" si="2"/>
        <v>0.92160604826936487</v>
      </c>
    </row>
    <row r="10" spans="1:15" ht="15" x14ac:dyDescent="0.25">
      <c r="A10" s="19" t="s">
        <v>25</v>
      </c>
      <c r="B10" s="20" t="s">
        <v>26</v>
      </c>
      <c r="C10" s="21">
        <v>0</v>
      </c>
      <c r="D10" s="22"/>
      <c r="E10" s="23"/>
      <c r="F10" s="24"/>
      <c r="G10" s="125"/>
      <c r="H10" s="21">
        <f t="shared" ref="H10:H21" si="5">C10-D10+E10+F10-G10</f>
        <v>0</v>
      </c>
      <c r="I10" s="22"/>
      <c r="J10" s="22"/>
      <c r="K10" s="21">
        <f t="shared" ref="K10:K21" si="6">SUM(I10:J10)</f>
        <v>0</v>
      </c>
      <c r="L10" s="16">
        <v>0</v>
      </c>
      <c r="M10" s="25">
        <f t="shared" si="3"/>
        <v>0</v>
      </c>
      <c r="N10" s="26">
        <f t="shared" si="4"/>
        <v>0</v>
      </c>
      <c r="O10" s="18">
        <v>0</v>
      </c>
    </row>
    <row r="11" spans="1:15" ht="15" x14ac:dyDescent="0.25">
      <c r="A11" s="19" t="s">
        <v>27</v>
      </c>
      <c r="B11" s="20" t="s">
        <v>28</v>
      </c>
      <c r="C11" s="21">
        <v>2300000</v>
      </c>
      <c r="D11" s="22"/>
      <c r="E11" s="23"/>
      <c r="F11" s="24"/>
      <c r="G11" s="125"/>
      <c r="H11" s="21">
        <f t="shared" si="5"/>
        <v>2300000</v>
      </c>
      <c r="I11" s="22"/>
      <c r="J11" s="22">
        <v>77700</v>
      </c>
      <c r="K11" s="21">
        <f t="shared" si="6"/>
        <v>77700</v>
      </c>
      <c r="L11" s="16">
        <f t="shared" si="1"/>
        <v>3.3782608695652173E-2</v>
      </c>
      <c r="M11" s="25">
        <f t="shared" si="3"/>
        <v>77700</v>
      </c>
      <c r="N11" s="26">
        <f t="shared" si="4"/>
        <v>2222300</v>
      </c>
      <c r="O11" s="18">
        <f t="shared" si="2"/>
        <v>0.96621739130434781</v>
      </c>
    </row>
    <row r="12" spans="1:15" ht="15.75" customHeight="1" x14ac:dyDescent="0.25">
      <c r="A12" s="19" t="s">
        <v>29</v>
      </c>
      <c r="B12" s="20" t="s">
        <v>30</v>
      </c>
      <c r="C12" s="21">
        <v>1800000</v>
      </c>
      <c r="D12" s="22"/>
      <c r="E12" s="23"/>
      <c r="F12" s="24"/>
      <c r="G12" s="125"/>
      <c r="H12" s="21">
        <f t="shared" si="5"/>
        <v>1800000</v>
      </c>
      <c r="I12" s="22"/>
      <c r="J12" s="22">
        <v>107268</v>
      </c>
      <c r="K12" s="21">
        <f t="shared" si="6"/>
        <v>107268</v>
      </c>
      <c r="L12" s="16">
        <f t="shared" si="1"/>
        <v>5.9593333333333331E-2</v>
      </c>
      <c r="M12" s="25">
        <f t="shared" si="3"/>
        <v>107268</v>
      </c>
      <c r="N12" s="26">
        <f t="shared" si="4"/>
        <v>1692732</v>
      </c>
      <c r="O12" s="18">
        <f t="shared" si="2"/>
        <v>0.94040666666666661</v>
      </c>
    </row>
    <row r="13" spans="1:15" ht="15" x14ac:dyDescent="0.25">
      <c r="A13" s="19" t="s">
        <v>31</v>
      </c>
      <c r="B13" s="20" t="s">
        <v>32</v>
      </c>
      <c r="C13" s="21">
        <v>15000000</v>
      </c>
      <c r="D13" s="22"/>
      <c r="E13" s="23"/>
      <c r="F13" s="24"/>
      <c r="G13" s="125"/>
      <c r="H13" s="21">
        <f t="shared" si="5"/>
        <v>15000000</v>
      </c>
      <c r="I13" s="22"/>
      <c r="J13" s="27">
        <v>1412755</v>
      </c>
      <c r="K13" s="21">
        <f t="shared" si="6"/>
        <v>1412755</v>
      </c>
      <c r="L13" s="16">
        <f t="shared" si="1"/>
        <v>9.4183666666666666E-2</v>
      </c>
      <c r="M13" s="25">
        <f t="shared" si="3"/>
        <v>1412755</v>
      </c>
      <c r="N13" s="26">
        <f t="shared" si="4"/>
        <v>13587245</v>
      </c>
      <c r="O13" s="18">
        <f t="shared" si="2"/>
        <v>0.90581633333333333</v>
      </c>
    </row>
    <row r="14" spans="1:15" ht="15" x14ac:dyDescent="0.25">
      <c r="A14" s="19" t="s">
        <v>33</v>
      </c>
      <c r="B14" s="20" t="s">
        <v>34</v>
      </c>
      <c r="C14" s="21">
        <v>22000000</v>
      </c>
      <c r="D14" s="22"/>
      <c r="E14" s="23"/>
      <c r="F14" s="24"/>
      <c r="G14" s="125"/>
      <c r="H14" s="21">
        <f t="shared" si="5"/>
        <v>22000000</v>
      </c>
      <c r="I14" s="22"/>
      <c r="J14" s="27"/>
      <c r="K14" s="21">
        <f t="shared" si="6"/>
        <v>0</v>
      </c>
      <c r="L14" s="16">
        <f t="shared" si="1"/>
        <v>0</v>
      </c>
      <c r="M14" s="25">
        <f t="shared" si="3"/>
        <v>0</v>
      </c>
      <c r="N14" s="26">
        <f t="shared" si="4"/>
        <v>22000000</v>
      </c>
      <c r="O14" s="18">
        <f t="shared" si="2"/>
        <v>1</v>
      </c>
    </row>
    <row r="15" spans="1:15" ht="15" x14ac:dyDescent="0.25">
      <c r="A15" s="19" t="s">
        <v>35</v>
      </c>
      <c r="B15" s="20" t="s">
        <v>36</v>
      </c>
      <c r="C15" s="21">
        <v>33000000</v>
      </c>
      <c r="D15" s="22"/>
      <c r="E15" s="23"/>
      <c r="F15" s="24"/>
      <c r="G15" s="125"/>
      <c r="H15" s="21">
        <f t="shared" si="5"/>
        <v>33000000</v>
      </c>
      <c r="I15" s="22"/>
      <c r="J15" s="27">
        <v>2018225</v>
      </c>
      <c r="K15" s="21">
        <f t="shared" si="6"/>
        <v>2018225</v>
      </c>
      <c r="L15" s="16">
        <f t="shared" si="1"/>
        <v>6.1158333333333335E-2</v>
      </c>
      <c r="M15" s="25">
        <f t="shared" si="3"/>
        <v>2018225</v>
      </c>
      <c r="N15" s="26">
        <f t="shared" si="4"/>
        <v>30981775</v>
      </c>
      <c r="O15" s="18">
        <f t="shared" si="2"/>
        <v>0.93884166666666669</v>
      </c>
    </row>
    <row r="16" spans="1:15" ht="15" x14ac:dyDescent="0.25">
      <c r="A16" s="28">
        <v>2020110109</v>
      </c>
      <c r="B16" s="20" t="s">
        <v>37</v>
      </c>
      <c r="C16" s="21">
        <v>38000000</v>
      </c>
      <c r="D16" s="22"/>
      <c r="E16" s="23"/>
      <c r="F16" s="24"/>
      <c r="G16" s="125"/>
      <c r="H16" s="21">
        <f t="shared" si="5"/>
        <v>38000000</v>
      </c>
      <c r="I16" s="22"/>
      <c r="J16" s="27">
        <v>4009357</v>
      </c>
      <c r="K16" s="21">
        <f>SUM(I16:J16)</f>
        <v>4009357</v>
      </c>
      <c r="L16" s="16">
        <f t="shared" si="1"/>
        <v>0.10550939473684211</v>
      </c>
      <c r="M16" s="25">
        <f t="shared" si="3"/>
        <v>4009357</v>
      </c>
      <c r="N16" s="26">
        <f t="shared" si="4"/>
        <v>33990643</v>
      </c>
      <c r="O16" s="18">
        <f t="shared" si="2"/>
        <v>0.89449060526315793</v>
      </c>
    </row>
    <row r="17" spans="1:15" ht="15" x14ac:dyDescent="0.25">
      <c r="A17" s="28">
        <v>2020110108</v>
      </c>
      <c r="B17" s="20" t="s">
        <v>38</v>
      </c>
      <c r="C17" s="21">
        <v>44000000</v>
      </c>
      <c r="D17" s="22"/>
      <c r="E17" s="23"/>
      <c r="F17" s="24"/>
      <c r="G17" s="125"/>
      <c r="H17" s="21">
        <f t="shared" si="5"/>
        <v>44000000</v>
      </c>
      <c r="I17" s="22"/>
      <c r="J17" s="29"/>
      <c r="K17" s="21">
        <f t="shared" si="6"/>
        <v>0</v>
      </c>
      <c r="L17" s="16">
        <f t="shared" si="1"/>
        <v>0</v>
      </c>
      <c r="M17" s="25">
        <f t="shared" si="3"/>
        <v>0</v>
      </c>
      <c r="N17" s="26">
        <f t="shared" si="4"/>
        <v>44000000</v>
      </c>
      <c r="O17" s="18">
        <f t="shared" si="2"/>
        <v>1</v>
      </c>
    </row>
    <row r="18" spans="1:15" s="77" customFormat="1" ht="27.75" customHeight="1" x14ac:dyDescent="0.2">
      <c r="A18" s="114" t="s">
        <v>39</v>
      </c>
      <c r="B18" s="115" t="s">
        <v>40</v>
      </c>
      <c r="C18" s="119">
        <f>C19+C20+C21</f>
        <v>20000000</v>
      </c>
      <c r="D18" s="120"/>
      <c r="E18" s="121">
        <f t="shared" ref="E18:K18" si="7">E19+E20+E21</f>
        <v>0</v>
      </c>
      <c r="F18" s="122">
        <f t="shared" si="7"/>
        <v>0</v>
      </c>
      <c r="G18" s="112">
        <f t="shared" si="7"/>
        <v>0</v>
      </c>
      <c r="H18" s="120">
        <f t="shared" si="5"/>
        <v>20000000</v>
      </c>
      <c r="I18" s="112">
        <f t="shared" si="7"/>
        <v>0</v>
      </c>
      <c r="J18" s="112">
        <f t="shared" si="7"/>
        <v>0</v>
      </c>
      <c r="K18" s="112">
        <f t="shared" si="7"/>
        <v>0</v>
      </c>
      <c r="L18" s="116">
        <f t="shared" si="1"/>
        <v>0</v>
      </c>
      <c r="M18" s="117">
        <f>M19+M20+M21</f>
        <v>0</v>
      </c>
      <c r="N18" s="113">
        <f>SUM(N19:N21)</f>
        <v>20000000</v>
      </c>
      <c r="O18" s="118">
        <f t="shared" si="2"/>
        <v>1</v>
      </c>
    </row>
    <row r="19" spans="1:15" ht="15" x14ac:dyDescent="0.25">
      <c r="A19" s="19" t="s">
        <v>41</v>
      </c>
      <c r="B19" s="30" t="s">
        <v>42</v>
      </c>
      <c r="C19" s="31">
        <v>20000000</v>
      </c>
      <c r="D19" s="22"/>
      <c r="E19" s="23"/>
      <c r="F19" s="24"/>
      <c r="G19" s="125"/>
      <c r="H19" s="21">
        <f t="shared" si="5"/>
        <v>20000000</v>
      </c>
      <c r="I19" s="22"/>
      <c r="J19" s="22"/>
      <c r="K19" s="21">
        <f t="shared" si="6"/>
        <v>0</v>
      </c>
      <c r="L19" s="16">
        <f t="shared" si="1"/>
        <v>0</v>
      </c>
      <c r="M19" s="25">
        <f t="shared" si="3"/>
        <v>0</v>
      </c>
      <c r="N19" s="26">
        <f>H19-K19</f>
        <v>20000000</v>
      </c>
      <c r="O19" s="18">
        <f t="shared" si="2"/>
        <v>1</v>
      </c>
    </row>
    <row r="20" spans="1:15" ht="15" x14ac:dyDescent="0.25">
      <c r="A20" s="19" t="s">
        <v>43</v>
      </c>
      <c r="B20" s="20" t="s">
        <v>44</v>
      </c>
      <c r="C20" s="32">
        <v>0</v>
      </c>
      <c r="D20" s="22"/>
      <c r="E20" s="23"/>
      <c r="F20" s="24"/>
      <c r="G20" s="125"/>
      <c r="H20" s="21">
        <f t="shared" si="5"/>
        <v>0</v>
      </c>
      <c r="I20" s="22"/>
      <c r="J20" s="22"/>
      <c r="K20" s="21">
        <f t="shared" si="6"/>
        <v>0</v>
      </c>
      <c r="L20" s="16">
        <v>0</v>
      </c>
      <c r="M20" s="25">
        <f t="shared" si="3"/>
        <v>0</v>
      </c>
      <c r="N20" s="26">
        <f>H20-K20</f>
        <v>0</v>
      </c>
      <c r="O20" s="18">
        <v>0</v>
      </c>
    </row>
    <row r="21" spans="1:15" ht="15" x14ac:dyDescent="0.25">
      <c r="A21" s="19" t="s">
        <v>45</v>
      </c>
      <c r="B21" s="33" t="s">
        <v>46</v>
      </c>
      <c r="C21" s="31">
        <v>0</v>
      </c>
      <c r="D21" s="22"/>
      <c r="E21" s="23"/>
      <c r="F21" s="24"/>
      <c r="G21" s="125"/>
      <c r="H21" s="21">
        <f t="shared" si="5"/>
        <v>0</v>
      </c>
      <c r="I21" s="22"/>
      <c r="J21" s="27"/>
      <c r="K21" s="21">
        <f t="shared" si="6"/>
        <v>0</v>
      </c>
      <c r="L21" s="16">
        <v>0</v>
      </c>
      <c r="M21" s="25">
        <f t="shared" si="3"/>
        <v>0</v>
      </c>
      <c r="N21" s="26">
        <f>H21-K21</f>
        <v>0</v>
      </c>
      <c r="O21" s="18">
        <v>0</v>
      </c>
    </row>
    <row r="22" spans="1:15" s="77" customFormat="1" ht="27.75" customHeight="1" x14ac:dyDescent="0.2">
      <c r="A22" s="114" t="s">
        <v>47</v>
      </c>
      <c r="B22" s="123" t="s">
        <v>48</v>
      </c>
      <c r="C22" s="124">
        <f>C23+C24+C25+C26</f>
        <v>26200000</v>
      </c>
      <c r="D22" s="112"/>
      <c r="E22" s="112">
        <f>E23+E24+E25+E26</f>
        <v>0</v>
      </c>
      <c r="F22" s="112">
        <f>F23+F24+F25+F26</f>
        <v>0</v>
      </c>
      <c r="G22" s="112">
        <f>G23+G24+G25+G26</f>
        <v>0</v>
      </c>
      <c r="H22" s="112">
        <f>H23+H24+H25+H26</f>
        <v>26200000</v>
      </c>
      <c r="I22" s="112"/>
      <c r="J22" s="112">
        <f>J23+J24+J25+J26</f>
        <v>1404640</v>
      </c>
      <c r="K22" s="112">
        <f>K23+K24+K25+K26</f>
        <v>1404640</v>
      </c>
      <c r="L22" s="116">
        <f t="shared" si="1"/>
        <v>5.3612213740458013E-2</v>
      </c>
      <c r="M22" s="117">
        <f t="shared" si="3"/>
        <v>1404640</v>
      </c>
      <c r="N22" s="112">
        <f>SUM(N23:N26)</f>
        <v>24795360</v>
      </c>
      <c r="O22" s="118">
        <f t="shared" si="2"/>
        <v>0.94638778625954201</v>
      </c>
    </row>
    <row r="23" spans="1:15" ht="15" x14ac:dyDescent="0.25">
      <c r="A23" s="19" t="s">
        <v>49</v>
      </c>
      <c r="B23" s="33" t="s">
        <v>50</v>
      </c>
      <c r="C23" s="31">
        <v>0</v>
      </c>
      <c r="D23" s="22"/>
      <c r="E23" s="23"/>
      <c r="F23" s="24"/>
      <c r="G23" s="125"/>
      <c r="H23" s="21">
        <f>C23-D23+E23+F23-G23</f>
        <v>0</v>
      </c>
      <c r="I23" s="22"/>
      <c r="J23" s="27"/>
      <c r="K23" s="21">
        <f t="shared" ref="K23:K57" si="8">SUM(I23:J23)</f>
        <v>0</v>
      </c>
      <c r="L23" s="16">
        <v>0</v>
      </c>
      <c r="M23" s="17">
        <f t="shared" si="3"/>
        <v>0</v>
      </c>
      <c r="N23" s="26">
        <f>H23-K23</f>
        <v>0</v>
      </c>
      <c r="O23" s="18">
        <v>0</v>
      </c>
    </row>
    <row r="24" spans="1:15" ht="15" x14ac:dyDescent="0.25">
      <c r="A24" s="19" t="s">
        <v>51</v>
      </c>
      <c r="B24" s="34" t="s">
        <v>52</v>
      </c>
      <c r="C24" s="31">
        <v>25000000</v>
      </c>
      <c r="D24" s="22"/>
      <c r="E24" s="23"/>
      <c r="F24" s="24"/>
      <c r="G24" s="125"/>
      <c r="H24" s="21">
        <f>C24-D24+E24+F24-G24</f>
        <v>25000000</v>
      </c>
      <c r="I24" s="22"/>
      <c r="J24" s="22">
        <v>1404640</v>
      </c>
      <c r="K24" s="21">
        <f t="shared" si="8"/>
        <v>1404640</v>
      </c>
      <c r="L24" s="16">
        <f t="shared" si="1"/>
        <v>5.6185600000000002E-2</v>
      </c>
      <c r="M24" s="25">
        <f t="shared" si="3"/>
        <v>1404640</v>
      </c>
      <c r="N24" s="26">
        <f>H24-K24</f>
        <v>23595360</v>
      </c>
      <c r="O24" s="35">
        <f t="shared" si="2"/>
        <v>0.94381440000000005</v>
      </c>
    </row>
    <row r="25" spans="1:15" ht="15" x14ac:dyDescent="0.25">
      <c r="A25" s="19" t="s">
        <v>53</v>
      </c>
      <c r="B25" s="33" t="s">
        <v>54</v>
      </c>
      <c r="C25" s="32">
        <v>1200000</v>
      </c>
      <c r="D25" s="22"/>
      <c r="E25" s="23"/>
      <c r="F25" s="24"/>
      <c r="G25" s="126"/>
      <c r="H25" s="21">
        <f>C25-D25+E25+F25-G25</f>
        <v>1200000</v>
      </c>
      <c r="I25" s="22"/>
      <c r="J25" s="22"/>
      <c r="K25" s="21">
        <f t="shared" si="8"/>
        <v>0</v>
      </c>
      <c r="L25" s="16">
        <f t="shared" si="1"/>
        <v>0</v>
      </c>
      <c r="M25" s="17">
        <f t="shared" si="3"/>
        <v>0</v>
      </c>
      <c r="N25" s="26">
        <f>H25-K25</f>
        <v>1200000</v>
      </c>
      <c r="O25" s="35">
        <f t="shared" si="2"/>
        <v>1</v>
      </c>
    </row>
    <row r="26" spans="1:15" ht="15" x14ac:dyDescent="0.25">
      <c r="A26" s="19" t="s">
        <v>55</v>
      </c>
      <c r="B26" s="33" t="s">
        <v>56</v>
      </c>
      <c r="C26" s="32">
        <v>0</v>
      </c>
      <c r="D26" s="22"/>
      <c r="E26" s="23"/>
      <c r="F26" s="24"/>
      <c r="G26" s="125"/>
      <c r="H26" s="21">
        <f>C26-D26+E26+F26-G26</f>
        <v>0</v>
      </c>
      <c r="I26" s="22"/>
      <c r="J26" s="22"/>
      <c r="K26" s="21">
        <f t="shared" si="8"/>
        <v>0</v>
      </c>
      <c r="L26" s="16">
        <v>0</v>
      </c>
      <c r="M26" s="17">
        <f t="shared" si="3"/>
        <v>0</v>
      </c>
      <c r="N26" s="26">
        <f>H26-K26</f>
        <v>0</v>
      </c>
      <c r="O26" s="35">
        <v>0</v>
      </c>
    </row>
    <row r="27" spans="1:15" s="77" customFormat="1" ht="27.75" customHeight="1" x14ac:dyDescent="0.2">
      <c r="A27" s="114" t="s">
        <v>57</v>
      </c>
      <c r="B27" s="123" t="s">
        <v>58</v>
      </c>
      <c r="C27" s="119">
        <f>C28+C29+C30+C31+C32+C33+C34+C35+C36+C37+C38+C39+C40+C41</f>
        <v>119922165</v>
      </c>
      <c r="D27" s="120"/>
      <c r="E27" s="112">
        <f t="shared" ref="E27:J27" si="9">E28+E29+E30+E31+E32+E33+E34+E35+E36+E37+E38+E39+E40+E41</f>
        <v>0</v>
      </c>
      <c r="F27" s="122">
        <f t="shared" si="9"/>
        <v>0</v>
      </c>
      <c r="G27" s="112">
        <f t="shared" si="9"/>
        <v>0</v>
      </c>
      <c r="H27" s="112">
        <f t="shared" si="9"/>
        <v>119922165</v>
      </c>
      <c r="I27" s="112">
        <f t="shared" si="9"/>
        <v>0</v>
      </c>
      <c r="J27" s="112">
        <f t="shared" si="9"/>
        <v>11204364</v>
      </c>
      <c r="K27" s="112">
        <f>K28+K29+K30+K31+K32+K33+K34+K35+K36+K37+K38+K39+K40</f>
        <v>11204364</v>
      </c>
      <c r="L27" s="116">
        <f t="shared" si="1"/>
        <v>9.3430301229134746E-2</v>
      </c>
      <c r="M27" s="117">
        <f>M28+M29+M30+M31+M32+M33+M34+M35+M36+M37+M38+M39+M40+M41</f>
        <v>11204364</v>
      </c>
      <c r="N27" s="113">
        <f>SUM(N28:N41)</f>
        <v>108717801</v>
      </c>
      <c r="O27" s="118">
        <f t="shared" si="2"/>
        <v>0.90656969877086524</v>
      </c>
    </row>
    <row r="28" spans="1:15" ht="15" x14ac:dyDescent="0.25">
      <c r="A28" s="19" t="s">
        <v>59</v>
      </c>
      <c r="B28" s="33" t="s">
        <v>60</v>
      </c>
      <c r="C28" s="31">
        <v>10000000</v>
      </c>
      <c r="D28" s="22"/>
      <c r="E28" s="23"/>
      <c r="F28" s="24"/>
      <c r="G28" s="125"/>
      <c r="H28" s="21">
        <f t="shared" ref="H28:H41" si="10">C28-D28+E28+F28-G28</f>
        <v>10000000</v>
      </c>
      <c r="I28" s="22"/>
      <c r="J28" s="22">
        <v>1000000</v>
      </c>
      <c r="K28" s="21">
        <f t="shared" si="8"/>
        <v>1000000</v>
      </c>
      <c r="L28" s="16">
        <f t="shared" si="1"/>
        <v>0.1</v>
      </c>
      <c r="M28" s="25">
        <f t="shared" si="3"/>
        <v>1000000</v>
      </c>
      <c r="N28" s="26">
        <f t="shared" ref="N28:N39" si="11">H28-K28</f>
        <v>9000000</v>
      </c>
      <c r="O28" s="35">
        <f t="shared" si="2"/>
        <v>0.9</v>
      </c>
    </row>
    <row r="29" spans="1:15" ht="15" x14ac:dyDescent="0.25">
      <c r="A29" s="19" t="s">
        <v>61</v>
      </c>
      <c r="B29" s="33" t="s">
        <v>62</v>
      </c>
      <c r="C29" s="31">
        <v>25000000</v>
      </c>
      <c r="D29" s="22"/>
      <c r="E29" s="23"/>
      <c r="F29" s="24"/>
      <c r="G29" s="125"/>
      <c r="H29" s="21">
        <f t="shared" si="10"/>
        <v>25000000</v>
      </c>
      <c r="I29" s="22"/>
      <c r="J29" s="22">
        <v>9431011</v>
      </c>
      <c r="K29" s="21">
        <f t="shared" si="8"/>
        <v>9431011</v>
      </c>
      <c r="L29" s="16">
        <f t="shared" si="1"/>
        <v>0.37724044000000001</v>
      </c>
      <c r="M29" s="25">
        <f t="shared" si="3"/>
        <v>9431011</v>
      </c>
      <c r="N29" s="26">
        <f t="shared" si="11"/>
        <v>15568989</v>
      </c>
      <c r="O29" s="35">
        <f t="shared" si="2"/>
        <v>0.62275955999999999</v>
      </c>
    </row>
    <row r="30" spans="1:15" ht="15" x14ac:dyDescent="0.25">
      <c r="A30" s="19" t="s">
        <v>63</v>
      </c>
      <c r="B30" s="33" t="s">
        <v>64</v>
      </c>
      <c r="C30" s="31">
        <v>4400000</v>
      </c>
      <c r="D30" s="22"/>
      <c r="E30" s="23"/>
      <c r="F30" s="24"/>
      <c r="G30" s="125"/>
      <c r="H30" s="21">
        <f t="shared" si="10"/>
        <v>4400000</v>
      </c>
      <c r="I30" s="22"/>
      <c r="J30" s="22">
        <v>400000</v>
      </c>
      <c r="K30" s="21">
        <f t="shared" si="8"/>
        <v>400000</v>
      </c>
      <c r="L30" s="16">
        <f t="shared" si="1"/>
        <v>9.0909090909090912E-2</v>
      </c>
      <c r="M30" s="25">
        <f t="shared" si="3"/>
        <v>400000</v>
      </c>
      <c r="N30" s="26">
        <f t="shared" si="11"/>
        <v>4000000</v>
      </c>
      <c r="O30" s="35">
        <f t="shared" si="2"/>
        <v>0.90909090909090906</v>
      </c>
    </row>
    <row r="31" spans="1:15" ht="15" x14ac:dyDescent="0.25">
      <c r="A31" s="19" t="s">
        <v>65</v>
      </c>
      <c r="B31" s="33" t="s">
        <v>66</v>
      </c>
      <c r="C31" s="32">
        <v>10000000</v>
      </c>
      <c r="D31" s="22"/>
      <c r="E31" s="23"/>
      <c r="F31" s="24"/>
      <c r="G31" s="125"/>
      <c r="H31" s="21">
        <f t="shared" si="10"/>
        <v>10000000</v>
      </c>
      <c r="I31" s="22"/>
      <c r="J31" s="27"/>
      <c r="K31" s="21">
        <f t="shared" si="8"/>
        <v>0</v>
      </c>
      <c r="L31" s="16">
        <f t="shared" si="1"/>
        <v>0</v>
      </c>
      <c r="M31" s="25">
        <f t="shared" si="3"/>
        <v>0</v>
      </c>
      <c r="N31" s="26">
        <f t="shared" si="11"/>
        <v>10000000</v>
      </c>
      <c r="O31" s="18">
        <f t="shared" si="2"/>
        <v>1</v>
      </c>
    </row>
    <row r="32" spans="1:15" ht="15" x14ac:dyDescent="0.25">
      <c r="A32" s="19" t="s">
        <v>67</v>
      </c>
      <c r="B32" s="33" t="s">
        <v>68</v>
      </c>
      <c r="C32" s="32">
        <v>4800000</v>
      </c>
      <c r="D32" s="22"/>
      <c r="E32" s="23"/>
      <c r="F32" s="24"/>
      <c r="G32" s="125"/>
      <c r="H32" s="21">
        <f t="shared" si="10"/>
        <v>4800000</v>
      </c>
      <c r="I32" s="22"/>
      <c r="J32" s="27">
        <v>373353</v>
      </c>
      <c r="K32" s="21">
        <f t="shared" si="8"/>
        <v>373353</v>
      </c>
      <c r="L32" s="16">
        <f t="shared" si="1"/>
        <v>7.7781875E-2</v>
      </c>
      <c r="M32" s="25">
        <f t="shared" si="3"/>
        <v>373353</v>
      </c>
      <c r="N32" s="26">
        <f t="shared" si="11"/>
        <v>4426647</v>
      </c>
      <c r="O32" s="18">
        <f t="shared" si="2"/>
        <v>0.922218125</v>
      </c>
    </row>
    <row r="33" spans="1:17" ht="15" x14ac:dyDescent="0.25">
      <c r="A33" s="19" t="s">
        <v>69</v>
      </c>
      <c r="B33" s="33" t="s">
        <v>70</v>
      </c>
      <c r="C33" s="32">
        <v>3200000</v>
      </c>
      <c r="D33" s="22"/>
      <c r="E33" s="23"/>
      <c r="F33" s="24"/>
      <c r="G33" s="125"/>
      <c r="H33" s="21">
        <f t="shared" si="10"/>
        <v>3200000</v>
      </c>
      <c r="I33" s="22"/>
      <c r="J33" s="27"/>
      <c r="K33" s="21">
        <f t="shared" si="8"/>
        <v>0</v>
      </c>
      <c r="L33" s="16">
        <f t="shared" si="1"/>
        <v>0</v>
      </c>
      <c r="M33" s="25">
        <f t="shared" si="3"/>
        <v>0</v>
      </c>
      <c r="N33" s="26">
        <f t="shared" si="11"/>
        <v>3200000</v>
      </c>
      <c r="O33" s="18">
        <v>0</v>
      </c>
    </row>
    <row r="34" spans="1:17" ht="15" x14ac:dyDescent="0.25">
      <c r="A34" s="19" t="s">
        <v>71</v>
      </c>
      <c r="B34" s="34" t="s">
        <v>72</v>
      </c>
      <c r="C34" s="32">
        <v>3822165</v>
      </c>
      <c r="D34" s="22"/>
      <c r="E34" s="23"/>
      <c r="F34" s="24"/>
      <c r="G34" s="125"/>
      <c r="H34" s="21">
        <f t="shared" si="10"/>
        <v>3822165</v>
      </c>
      <c r="I34" s="22"/>
      <c r="J34" s="22"/>
      <c r="K34" s="21">
        <f t="shared" si="8"/>
        <v>0</v>
      </c>
      <c r="L34" s="16">
        <f t="shared" si="1"/>
        <v>0</v>
      </c>
      <c r="M34" s="25">
        <f t="shared" si="3"/>
        <v>0</v>
      </c>
      <c r="N34" s="26">
        <f t="shared" si="11"/>
        <v>3822165</v>
      </c>
      <c r="O34" s="18">
        <f t="shared" ref="O34:O44" si="12">N34/H34</f>
        <v>1</v>
      </c>
    </row>
    <row r="35" spans="1:17" ht="15" x14ac:dyDescent="0.25">
      <c r="A35" s="19" t="s">
        <v>73</v>
      </c>
      <c r="B35" s="33" t="s">
        <v>74</v>
      </c>
      <c r="C35" s="32">
        <v>0</v>
      </c>
      <c r="D35" s="22"/>
      <c r="E35" s="23"/>
      <c r="F35" s="24"/>
      <c r="G35" s="125"/>
      <c r="H35" s="21">
        <f t="shared" si="10"/>
        <v>0</v>
      </c>
      <c r="I35" s="22"/>
      <c r="J35" s="22"/>
      <c r="K35" s="21">
        <f t="shared" si="8"/>
        <v>0</v>
      </c>
      <c r="L35" s="16">
        <v>0</v>
      </c>
      <c r="M35" s="25">
        <f t="shared" si="3"/>
        <v>0</v>
      </c>
      <c r="N35" s="26">
        <f t="shared" si="11"/>
        <v>0</v>
      </c>
      <c r="O35" s="18">
        <v>0</v>
      </c>
    </row>
    <row r="36" spans="1:17" ht="15" x14ac:dyDescent="0.25">
      <c r="A36" s="19" t="s">
        <v>75</v>
      </c>
      <c r="B36" s="33" t="s">
        <v>76</v>
      </c>
      <c r="C36" s="32">
        <v>11000000</v>
      </c>
      <c r="D36" s="22"/>
      <c r="E36" s="23"/>
      <c r="F36" s="24"/>
      <c r="G36" s="125"/>
      <c r="H36" s="21">
        <f t="shared" si="10"/>
        <v>11000000</v>
      </c>
      <c r="I36" s="22"/>
      <c r="J36" s="22"/>
      <c r="K36" s="21">
        <f t="shared" si="8"/>
        <v>0</v>
      </c>
      <c r="L36" s="16">
        <f t="shared" si="1"/>
        <v>0</v>
      </c>
      <c r="M36" s="25">
        <f t="shared" si="3"/>
        <v>0</v>
      </c>
      <c r="N36" s="26">
        <f t="shared" si="11"/>
        <v>11000000</v>
      </c>
      <c r="O36" s="18">
        <f t="shared" si="12"/>
        <v>1</v>
      </c>
    </row>
    <row r="37" spans="1:17" ht="15" x14ac:dyDescent="0.25">
      <c r="A37" s="19" t="s">
        <v>77</v>
      </c>
      <c r="B37" s="34" t="s">
        <v>78</v>
      </c>
      <c r="C37" s="32">
        <v>20700000</v>
      </c>
      <c r="D37" s="22"/>
      <c r="E37" s="23"/>
      <c r="F37" s="24"/>
      <c r="G37" s="125"/>
      <c r="H37" s="21">
        <f t="shared" si="10"/>
        <v>20700000</v>
      </c>
      <c r="I37" s="22"/>
      <c r="J37" s="22"/>
      <c r="K37" s="21">
        <f t="shared" si="8"/>
        <v>0</v>
      </c>
      <c r="L37" s="16">
        <f t="shared" si="1"/>
        <v>0</v>
      </c>
      <c r="M37" s="25">
        <f t="shared" si="3"/>
        <v>0</v>
      </c>
      <c r="N37" s="26">
        <f t="shared" si="11"/>
        <v>20700000</v>
      </c>
      <c r="O37" s="35">
        <f t="shared" si="12"/>
        <v>1</v>
      </c>
    </row>
    <row r="38" spans="1:17" ht="15" x14ac:dyDescent="0.25">
      <c r="A38" s="19" t="s">
        <v>79</v>
      </c>
      <c r="B38" s="33" t="s">
        <v>80</v>
      </c>
      <c r="C38" s="32">
        <v>3000000</v>
      </c>
      <c r="D38" s="22"/>
      <c r="E38" s="23"/>
      <c r="F38" s="24"/>
      <c r="G38" s="125"/>
      <c r="H38" s="21">
        <f t="shared" si="10"/>
        <v>3000000</v>
      </c>
      <c r="I38" s="22"/>
      <c r="J38" s="22"/>
      <c r="K38" s="21">
        <f t="shared" si="8"/>
        <v>0</v>
      </c>
      <c r="L38" s="16">
        <f t="shared" si="1"/>
        <v>0</v>
      </c>
      <c r="M38" s="25">
        <f t="shared" si="3"/>
        <v>0</v>
      </c>
      <c r="N38" s="26">
        <f t="shared" si="11"/>
        <v>3000000</v>
      </c>
      <c r="O38" s="35">
        <f t="shared" si="12"/>
        <v>1</v>
      </c>
    </row>
    <row r="39" spans="1:17" ht="15" x14ac:dyDescent="0.25">
      <c r="A39" s="19" t="s">
        <v>81</v>
      </c>
      <c r="B39" s="33" t="s">
        <v>82</v>
      </c>
      <c r="C39" s="32">
        <v>20000000</v>
      </c>
      <c r="D39" s="22"/>
      <c r="E39" s="23"/>
      <c r="F39" s="24"/>
      <c r="G39" s="125"/>
      <c r="H39" s="21">
        <f t="shared" si="10"/>
        <v>20000000</v>
      </c>
      <c r="I39" s="22"/>
      <c r="J39" s="22"/>
      <c r="K39" s="21">
        <f t="shared" si="8"/>
        <v>0</v>
      </c>
      <c r="L39" s="16">
        <f t="shared" si="1"/>
        <v>0</v>
      </c>
      <c r="M39" s="25">
        <f t="shared" si="3"/>
        <v>0</v>
      </c>
      <c r="N39" s="26">
        <f t="shared" si="11"/>
        <v>20000000</v>
      </c>
      <c r="O39" s="18">
        <f t="shared" si="12"/>
        <v>1</v>
      </c>
    </row>
    <row r="40" spans="1:17" ht="15" x14ac:dyDescent="0.25">
      <c r="A40" s="19" t="s">
        <v>83</v>
      </c>
      <c r="B40" s="33" t="s">
        <v>84</v>
      </c>
      <c r="C40" s="32">
        <v>4000000</v>
      </c>
      <c r="D40" s="22"/>
      <c r="E40" s="23"/>
      <c r="F40" s="24"/>
      <c r="G40" s="125"/>
      <c r="H40" s="21">
        <f t="shared" si="10"/>
        <v>4000000</v>
      </c>
      <c r="I40" s="22"/>
      <c r="J40" s="22"/>
      <c r="K40" s="21">
        <f t="shared" si="8"/>
        <v>0</v>
      </c>
      <c r="L40" s="16">
        <f>K40/H40</f>
        <v>0</v>
      </c>
      <c r="M40" s="25">
        <f t="shared" si="3"/>
        <v>0</v>
      </c>
      <c r="N40" s="26">
        <f>H40-K40</f>
        <v>4000000</v>
      </c>
      <c r="O40" s="18">
        <f t="shared" si="12"/>
        <v>1</v>
      </c>
    </row>
    <row r="41" spans="1:17" ht="15" x14ac:dyDescent="0.25">
      <c r="A41" s="19" t="s">
        <v>85</v>
      </c>
      <c r="B41" s="33" t="s">
        <v>86</v>
      </c>
      <c r="C41" s="32">
        <v>0</v>
      </c>
      <c r="D41" s="22"/>
      <c r="E41" s="23"/>
      <c r="F41" s="24"/>
      <c r="G41" s="125"/>
      <c r="H41" s="21">
        <f t="shared" si="10"/>
        <v>0</v>
      </c>
      <c r="I41" s="22"/>
      <c r="J41" s="22"/>
      <c r="K41" s="21">
        <f t="shared" si="8"/>
        <v>0</v>
      </c>
      <c r="L41" s="16">
        <v>0</v>
      </c>
      <c r="M41" s="25">
        <f t="shared" si="3"/>
        <v>0</v>
      </c>
      <c r="N41" s="26">
        <f>H41-K41</f>
        <v>0</v>
      </c>
      <c r="O41" s="18">
        <v>0</v>
      </c>
    </row>
    <row r="42" spans="1:17" s="77" customFormat="1" ht="27.75" customHeight="1" x14ac:dyDescent="0.2">
      <c r="A42" s="114" t="s">
        <v>87</v>
      </c>
      <c r="B42" s="123" t="s">
        <v>88</v>
      </c>
      <c r="C42" s="119">
        <f>C43+C44+C45+C46</f>
        <v>115800000</v>
      </c>
      <c r="D42" s="120"/>
      <c r="E42" s="112">
        <f t="shared" ref="E42:K42" si="13">E43+E44+E45+E46</f>
        <v>0</v>
      </c>
      <c r="F42" s="120">
        <f t="shared" si="13"/>
        <v>0</v>
      </c>
      <c r="G42" s="112">
        <f t="shared" si="13"/>
        <v>0</v>
      </c>
      <c r="H42" s="112">
        <f t="shared" si="13"/>
        <v>115800000</v>
      </c>
      <c r="I42" s="112">
        <f t="shared" si="13"/>
        <v>0</v>
      </c>
      <c r="J42" s="112">
        <f t="shared" si="13"/>
        <v>7889200</v>
      </c>
      <c r="K42" s="112">
        <f t="shared" si="13"/>
        <v>7889200</v>
      </c>
      <c r="L42" s="116">
        <f t="shared" si="1"/>
        <v>6.8127806563039725E-2</v>
      </c>
      <c r="M42" s="117">
        <f t="shared" si="3"/>
        <v>7889200</v>
      </c>
      <c r="N42" s="113">
        <f>SUM(N43:N46)</f>
        <v>107910800</v>
      </c>
      <c r="O42" s="118">
        <f t="shared" si="12"/>
        <v>0.93187219343696026</v>
      </c>
    </row>
    <row r="43" spans="1:17" ht="15" x14ac:dyDescent="0.25">
      <c r="A43" s="19" t="s">
        <v>89</v>
      </c>
      <c r="B43" s="33" t="s">
        <v>90</v>
      </c>
      <c r="C43" s="21">
        <v>33000000</v>
      </c>
      <c r="D43" s="22"/>
      <c r="E43" s="23"/>
      <c r="F43" s="24"/>
      <c r="G43" s="125"/>
      <c r="H43" s="21">
        <f>C43-D43+E43+F43-G43</f>
        <v>33000000</v>
      </c>
      <c r="I43" s="22"/>
      <c r="J43" s="22"/>
      <c r="K43" s="21">
        <f t="shared" si="8"/>
        <v>0</v>
      </c>
      <c r="L43" s="16">
        <f t="shared" si="1"/>
        <v>0</v>
      </c>
      <c r="M43" s="25">
        <f t="shared" si="3"/>
        <v>0</v>
      </c>
      <c r="N43" s="26">
        <f>H43-K43</f>
        <v>33000000</v>
      </c>
      <c r="O43" s="18">
        <f t="shared" si="12"/>
        <v>1</v>
      </c>
    </row>
    <row r="44" spans="1:17" ht="15" x14ac:dyDescent="0.25">
      <c r="A44" s="19" t="s">
        <v>91</v>
      </c>
      <c r="B44" s="33" t="s">
        <v>92</v>
      </c>
      <c r="C44" s="21">
        <v>38000000</v>
      </c>
      <c r="D44" s="22"/>
      <c r="E44" s="23"/>
      <c r="F44" s="24"/>
      <c r="G44" s="125"/>
      <c r="H44" s="21">
        <f>C44-D44+E44+F44-G44</f>
        <v>38000000</v>
      </c>
      <c r="I44" s="22"/>
      <c r="J44" s="27">
        <v>3473388</v>
      </c>
      <c r="K44" s="21">
        <f t="shared" si="8"/>
        <v>3473388</v>
      </c>
      <c r="L44" s="16">
        <f t="shared" si="1"/>
        <v>9.1404947368421058E-2</v>
      </c>
      <c r="M44" s="25">
        <f t="shared" si="3"/>
        <v>3473388</v>
      </c>
      <c r="N44" s="26">
        <f>H44-K44</f>
        <v>34526612</v>
      </c>
      <c r="O44" s="18">
        <f t="shared" si="12"/>
        <v>0.90859505263157891</v>
      </c>
      <c r="Q44" s="37"/>
    </row>
    <row r="45" spans="1:17" ht="15" x14ac:dyDescent="0.25">
      <c r="A45" s="28">
        <v>2020110304</v>
      </c>
      <c r="B45" s="33" t="s">
        <v>93</v>
      </c>
      <c r="C45" s="21">
        <v>36800000</v>
      </c>
      <c r="D45" s="22"/>
      <c r="E45" s="23"/>
      <c r="F45" s="24"/>
      <c r="G45" s="125"/>
      <c r="H45" s="21">
        <f>C45-D45+E45+F45-G45</f>
        <v>36800000</v>
      </c>
      <c r="I45" s="22"/>
      <c r="J45" s="27">
        <v>4415812</v>
      </c>
      <c r="K45" s="21">
        <f t="shared" si="8"/>
        <v>4415812</v>
      </c>
      <c r="L45" s="16">
        <f t="shared" si="1"/>
        <v>0.11999489130434783</v>
      </c>
      <c r="M45" s="25">
        <f t="shared" si="3"/>
        <v>4415812</v>
      </c>
      <c r="N45" s="26">
        <f>H45-K45</f>
        <v>32384188</v>
      </c>
      <c r="O45" s="18">
        <v>0</v>
      </c>
      <c r="Q45" s="37"/>
    </row>
    <row r="46" spans="1:17" ht="15" x14ac:dyDescent="0.25">
      <c r="A46" s="28">
        <v>2020110305</v>
      </c>
      <c r="B46" s="33" t="s">
        <v>94</v>
      </c>
      <c r="C46" s="21">
        <v>8000000</v>
      </c>
      <c r="D46" s="15"/>
      <c r="E46" s="23"/>
      <c r="F46" s="24"/>
      <c r="G46" s="127"/>
      <c r="H46" s="21">
        <f>C46-D46+E46+F46-G46</f>
        <v>8000000</v>
      </c>
      <c r="I46" s="21"/>
      <c r="J46" s="21"/>
      <c r="K46" s="21">
        <f t="shared" si="8"/>
        <v>0</v>
      </c>
      <c r="L46" s="16">
        <f t="shared" si="1"/>
        <v>0</v>
      </c>
      <c r="M46" s="25">
        <f t="shared" si="3"/>
        <v>0</v>
      </c>
      <c r="N46" s="26">
        <f>H46-K46</f>
        <v>8000000</v>
      </c>
      <c r="O46" s="18">
        <v>0</v>
      </c>
      <c r="Q46" s="37"/>
    </row>
    <row r="47" spans="1:17" s="77" customFormat="1" ht="27.75" customHeight="1" x14ac:dyDescent="0.2">
      <c r="A47" s="114" t="s">
        <v>95</v>
      </c>
      <c r="B47" s="123" t="s">
        <v>96</v>
      </c>
      <c r="C47" s="119">
        <f>C48+C49+C50+C51+C52+C53+C54+C55+C56+C57</f>
        <v>100800000</v>
      </c>
      <c r="D47" s="120"/>
      <c r="E47" s="120">
        <f>E48</f>
        <v>0</v>
      </c>
      <c r="F47" s="112">
        <f>F48+F49+F50+F51+F52+F53+F54+F55+F56+F57</f>
        <v>0</v>
      </c>
      <c r="G47" s="120"/>
      <c r="H47" s="112">
        <f>H48+H49+H50+H51+H52+H53+H54+H55+H56+H57</f>
        <v>100800000</v>
      </c>
      <c r="I47" s="112">
        <f>I48+I49+I50+I51+I52+I53+I54+I55+I56+I57</f>
        <v>0</v>
      </c>
      <c r="J47" s="112">
        <f>J48+J49+J50+J51+J52+J53+J54+J55+J56+J57</f>
        <v>8389900</v>
      </c>
      <c r="K47" s="112">
        <f t="shared" si="8"/>
        <v>8389900</v>
      </c>
      <c r="L47" s="116">
        <f t="shared" si="1"/>
        <v>8.3233134920634916E-2</v>
      </c>
      <c r="M47" s="117">
        <f t="shared" si="3"/>
        <v>8389900</v>
      </c>
      <c r="N47" s="113">
        <f>SUM(N48:N57)</f>
        <v>92410100</v>
      </c>
      <c r="O47" s="118">
        <f t="shared" ref="O47:O58" si="14">N47/H47</f>
        <v>0.91676686507936511</v>
      </c>
      <c r="Q47" s="111"/>
    </row>
    <row r="48" spans="1:17" ht="15" x14ac:dyDescent="0.25">
      <c r="A48" s="19" t="s">
        <v>97</v>
      </c>
      <c r="B48" s="33" t="s">
        <v>98</v>
      </c>
      <c r="C48" s="31">
        <v>21000000</v>
      </c>
      <c r="D48" s="22"/>
      <c r="E48" s="23"/>
      <c r="F48" s="24"/>
      <c r="G48" s="125"/>
      <c r="H48" s="21">
        <f t="shared" ref="H48:H57" si="15">C48-D48+E48+F48-G48</f>
        <v>21000000</v>
      </c>
      <c r="I48" s="22"/>
      <c r="J48" s="27">
        <v>4435100</v>
      </c>
      <c r="K48" s="21">
        <f t="shared" si="8"/>
        <v>4435100</v>
      </c>
      <c r="L48" s="16">
        <f t="shared" si="1"/>
        <v>0.2111952380952381</v>
      </c>
      <c r="M48" s="25">
        <f t="shared" si="3"/>
        <v>4435100</v>
      </c>
      <c r="N48" s="26">
        <f t="shared" ref="N48:N57" si="16">H48-K48</f>
        <v>16564900</v>
      </c>
      <c r="O48" s="18">
        <f t="shared" si="14"/>
        <v>0.7888047619047619</v>
      </c>
      <c r="Q48" s="37"/>
    </row>
    <row r="49" spans="1:17" ht="15" x14ac:dyDescent="0.25">
      <c r="A49" s="19" t="s">
        <v>99</v>
      </c>
      <c r="B49" s="33" t="s">
        <v>92</v>
      </c>
      <c r="C49" s="31">
        <v>0</v>
      </c>
      <c r="D49" s="22"/>
      <c r="E49" s="23"/>
      <c r="F49" s="24"/>
      <c r="G49" s="125"/>
      <c r="H49" s="21">
        <f t="shared" si="15"/>
        <v>0</v>
      </c>
      <c r="I49" s="22"/>
      <c r="J49" s="22"/>
      <c r="K49" s="21">
        <f t="shared" si="8"/>
        <v>0</v>
      </c>
      <c r="L49" s="16">
        <v>0</v>
      </c>
      <c r="M49" s="17">
        <f t="shared" si="3"/>
        <v>0</v>
      </c>
      <c r="N49" s="26">
        <f t="shared" si="16"/>
        <v>0</v>
      </c>
      <c r="O49" s="18">
        <v>0</v>
      </c>
      <c r="Q49" s="37"/>
    </row>
    <row r="50" spans="1:17" ht="15" x14ac:dyDescent="0.25">
      <c r="A50" s="19" t="s">
        <v>100</v>
      </c>
      <c r="B50" s="33" t="s">
        <v>101</v>
      </c>
      <c r="C50" s="31">
        <v>3000000</v>
      </c>
      <c r="D50" s="22"/>
      <c r="E50" s="23"/>
      <c r="F50" s="24"/>
      <c r="G50" s="125"/>
      <c r="H50" s="21">
        <f t="shared" si="15"/>
        <v>3000000</v>
      </c>
      <c r="I50" s="22"/>
      <c r="J50" s="27">
        <v>261000</v>
      </c>
      <c r="K50" s="21">
        <f t="shared" si="8"/>
        <v>261000</v>
      </c>
      <c r="L50" s="16">
        <f t="shared" si="1"/>
        <v>8.6999999999999994E-2</v>
      </c>
      <c r="M50" s="25">
        <f t="shared" si="3"/>
        <v>261000</v>
      </c>
      <c r="N50" s="26">
        <f t="shared" si="16"/>
        <v>2739000</v>
      </c>
      <c r="O50" s="18">
        <f t="shared" si="14"/>
        <v>0.91300000000000003</v>
      </c>
      <c r="Q50" s="37"/>
    </row>
    <row r="51" spans="1:17" ht="15" x14ac:dyDescent="0.25">
      <c r="A51" s="19" t="s">
        <v>102</v>
      </c>
      <c r="B51" s="33" t="s">
        <v>93</v>
      </c>
      <c r="C51" s="32">
        <v>22000000</v>
      </c>
      <c r="D51" s="22"/>
      <c r="E51" s="23"/>
      <c r="F51" s="24"/>
      <c r="G51" s="125"/>
      <c r="H51" s="21">
        <f t="shared" si="15"/>
        <v>22000000</v>
      </c>
      <c r="I51" s="22"/>
      <c r="J51" s="39"/>
      <c r="K51" s="21">
        <f t="shared" si="8"/>
        <v>0</v>
      </c>
      <c r="L51" s="16">
        <f t="shared" si="1"/>
        <v>0</v>
      </c>
      <c r="M51" s="25">
        <f t="shared" si="3"/>
        <v>0</v>
      </c>
      <c r="N51" s="26">
        <f t="shared" si="16"/>
        <v>22000000</v>
      </c>
      <c r="O51" s="18">
        <f t="shared" si="14"/>
        <v>1</v>
      </c>
      <c r="Q51" s="37"/>
    </row>
    <row r="52" spans="1:17" ht="15" x14ac:dyDescent="0.25">
      <c r="A52" s="19" t="s">
        <v>103</v>
      </c>
      <c r="B52" s="33" t="s">
        <v>104</v>
      </c>
      <c r="C52" s="32">
        <v>23000000</v>
      </c>
      <c r="D52" s="22"/>
      <c r="E52" s="23"/>
      <c r="F52" s="24"/>
      <c r="G52" s="125"/>
      <c r="H52" s="21">
        <f t="shared" si="15"/>
        <v>23000000</v>
      </c>
      <c r="I52" s="22"/>
      <c r="J52" s="27">
        <v>1642000</v>
      </c>
      <c r="K52" s="21">
        <f t="shared" si="8"/>
        <v>1642000</v>
      </c>
      <c r="L52" s="16">
        <f t="shared" si="1"/>
        <v>7.139130434782609E-2</v>
      </c>
      <c r="M52" s="25">
        <f t="shared" si="3"/>
        <v>1642000</v>
      </c>
      <c r="N52" s="26">
        <f t="shared" si="16"/>
        <v>21358000</v>
      </c>
      <c r="O52" s="18">
        <f t="shared" si="14"/>
        <v>0.92860869565217397</v>
      </c>
      <c r="Q52" s="37"/>
    </row>
    <row r="53" spans="1:17" ht="15" x14ac:dyDescent="0.25">
      <c r="A53" s="19" t="s">
        <v>105</v>
      </c>
      <c r="B53" s="33" t="s">
        <v>106</v>
      </c>
      <c r="C53" s="32">
        <v>19800000</v>
      </c>
      <c r="D53" s="22"/>
      <c r="E53" s="23"/>
      <c r="F53" s="24"/>
      <c r="G53" s="125"/>
      <c r="H53" s="21">
        <f t="shared" si="15"/>
        <v>19800000</v>
      </c>
      <c r="I53" s="22"/>
      <c r="J53" s="27">
        <v>1231200</v>
      </c>
      <c r="K53" s="21">
        <f t="shared" si="8"/>
        <v>1231200</v>
      </c>
      <c r="L53" s="16">
        <f t="shared" si="1"/>
        <v>6.2181818181818178E-2</v>
      </c>
      <c r="M53" s="25">
        <f t="shared" si="3"/>
        <v>1231200</v>
      </c>
      <c r="N53" s="26">
        <f t="shared" si="16"/>
        <v>18568800</v>
      </c>
      <c r="O53" s="18">
        <f t="shared" si="14"/>
        <v>0.93781818181818177</v>
      </c>
      <c r="Q53" s="37"/>
    </row>
    <row r="54" spans="1:17" ht="15" x14ac:dyDescent="0.25">
      <c r="A54" s="19" t="s">
        <v>107</v>
      </c>
      <c r="B54" s="33" t="s">
        <v>108</v>
      </c>
      <c r="C54" s="32">
        <v>3000000</v>
      </c>
      <c r="D54" s="22"/>
      <c r="E54" s="23"/>
      <c r="F54" s="24"/>
      <c r="G54" s="125"/>
      <c r="H54" s="21">
        <f t="shared" si="15"/>
        <v>3000000</v>
      </c>
      <c r="I54" s="22"/>
      <c r="J54" s="27">
        <v>205200</v>
      </c>
      <c r="K54" s="21">
        <f t="shared" si="8"/>
        <v>205200</v>
      </c>
      <c r="L54" s="16">
        <f t="shared" si="1"/>
        <v>6.8400000000000002E-2</v>
      </c>
      <c r="M54" s="25">
        <f t="shared" si="3"/>
        <v>205200</v>
      </c>
      <c r="N54" s="26">
        <f t="shared" si="16"/>
        <v>2794800</v>
      </c>
      <c r="O54" s="18">
        <f t="shared" si="14"/>
        <v>0.93159999999999998</v>
      </c>
      <c r="Q54" s="37"/>
    </row>
    <row r="55" spans="1:17" ht="15" x14ac:dyDescent="0.25">
      <c r="A55" s="19" t="s">
        <v>109</v>
      </c>
      <c r="B55" s="33" t="s">
        <v>110</v>
      </c>
      <c r="C55" s="32">
        <v>3000000</v>
      </c>
      <c r="D55" s="22"/>
      <c r="E55" s="23"/>
      <c r="F55" s="24"/>
      <c r="G55" s="125"/>
      <c r="H55" s="21">
        <f t="shared" si="15"/>
        <v>3000000</v>
      </c>
      <c r="I55" s="22"/>
      <c r="J55" s="27">
        <v>205200</v>
      </c>
      <c r="K55" s="21">
        <f t="shared" si="8"/>
        <v>205200</v>
      </c>
      <c r="L55" s="16">
        <f t="shared" si="1"/>
        <v>6.8400000000000002E-2</v>
      </c>
      <c r="M55" s="25">
        <f t="shared" si="3"/>
        <v>205200</v>
      </c>
      <c r="N55" s="26">
        <f t="shared" si="16"/>
        <v>2794800</v>
      </c>
      <c r="O55" s="18">
        <f t="shared" si="14"/>
        <v>0.93159999999999998</v>
      </c>
      <c r="Q55" s="37"/>
    </row>
    <row r="56" spans="1:17" ht="15" x14ac:dyDescent="0.25">
      <c r="A56" s="19" t="s">
        <v>111</v>
      </c>
      <c r="B56" s="33" t="s">
        <v>112</v>
      </c>
      <c r="C56" s="32">
        <v>6000000</v>
      </c>
      <c r="D56" s="22"/>
      <c r="E56" s="23"/>
      <c r="F56" s="24"/>
      <c r="G56" s="125"/>
      <c r="H56" s="21">
        <f t="shared" si="15"/>
        <v>6000000</v>
      </c>
      <c r="I56" s="22"/>
      <c r="J56" s="27">
        <v>410200</v>
      </c>
      <c r="K56" s="21">
        <f t="shared" si="8"/>
        <v>410200</v>
      </c>
      <c r="L56" s="16">
        <f t="shared" si="1"/>
        <v>6.8366666666666673E-2</v>
      </c>
      <c r="M56" s="25">
        <f t="shared" si="3"/>
        <v>410200</v>
      </c>
      <c r="N56" s="26">
        <f t="shared" si="16"/>
        <v>5589800</v>
      </c>
      <c r="O56" s="18">
        <f t="shared" si="14"/>
        <v>0.93163333333333331</v>
      </c>
      <c r="Q56" s="37"/>
    </row>
    <row r="57" spans="1:17" ht="15" x14ac:dyDescent="0.25">
      <c r="A57" s="19" t="s">
        <v>113</v>
      </c>
      <c r="B57" s="33" t="s">
        <v>114</v>
      </c>
      <c r="C57" s="32"/>
      <c r="D57" s="22"/>
      <c r="E57" s="23"/>
      <c r="F57" s="24"/>
      <c r="G57" s="125"/>
      <c r="H57" s="21">
        <f t="shared" si="15"/>
        <v>0</v>
      </c>
      <c r="I57" s="22"/>
      <c r="J57" s="22"/>
      <c r="K57" s="21">
        <f t="shared" si="8"/>
        <v>0</v>
      </c>
      <c r="L57" s="16">
        <v>0</v>
      </c>
      <c r="M57" s="17">
        <f t="shared" si="3"/>
        <v>0</v>
      </c>
      <c r="N57" s="26">
        <f t="shared" si="16"/>
        <v>0</v>
      </c>
      <c r="O57" s="18">
        <v>0</v>
      </c>
      <c r="Q57" s="37"/>
    </row>
    <row r="58" spans="1:17" ht="35.25" customHeight="1" thickBot="1" x14ac:dyDescent="0.25">
      <c r="A58" s="158"/>
      <c r="B58" s="159" t="s">
        <v>115</v>
      </c>
      <c r="C58" s="160">
        <f>C47+C42+C27+C18+C22+C8</f>
        <v>1030155044</v>
      </c>
      <c r="D58" s="161">
        <f>D9+D47</f>
        <v>0</v>
      </c>
      <c r="E58" s="161">
        <f>E8+E18+E22+E27+E42</f>
        <v>0</v>
      </c>
      <c r="F58" s="161">
        <f>F47+F42+F27+F22+F18+F8</f>
        <v>0</v>
      </c>
      <c r="G58" s="161">
        <f>G47+G42+G27+G22+G18+G8</f>
        <v>0</v>
      </c>
      <c r="H58" s="161">
        <f>H8+H18+H22+H27+H42+H47</f>
        <v>1030155044</v>
      </c>
      <c r="I58" s="161">
        <f>I47+I42+I27+I22+I18+I8</f>
        <v>0</v>
      </c>
      <c r="J58" s="161">
        <f>J47+J42+J27+J22+J18+J8</f>
        <v>75030935</v>
      </c>
      <c r="K58" s="161">
        <f>K47+K42+K27+K22+K18+K8</f>
        <v>75030935</v>
      </c>
      <c r="L58" s="162">
        <f t="shared" si="1"/>
        <v>7.2834604302534481E-2</v>
      </c>
      <c r="M58" s="163">
        <f>M47+M42+M27+M22+M18+M8</f>
        <v>75030935</v>
      </c>
      <c r="N58" s="161">
        <f>N47+N42+N27+N22+N18+N8</f>
        <v>955124109</v>
      </c>
      <c r="O58" s="164">
        <f t="shared" si="14"/>
        <v>0.92716539569746548</v>
      </c>
    </row>
    <row r="59" spans="1:17" ht="23.25" customHeight="1" thickBot="1" x14ac:dyDescent="0.3">
      <c r="A59" s="209" t="s">
        <v>118</v>
      </c>
      <c r="B59" s="210"/>
      <c r="C59" s="206" t="s">
        <v>120</v>
      </c>
      <c r="D59" s="207"/>
      <c r="E59" s="207"/>
      <c r="F59" s="207"/>
      <c r="G59" s="207"/>
      <c r="H59" s="207"/>
      <c r="I59" s="207"/>
      <c r="J59" s="207"/>
      <c r="K59" s="207"/>
      <c r="L59" s="207"/>
      <c r="M59" s="207"/>
      <c r="N59" s="207"/>
      <c r="O59" s="208"/>
      <c r="Q59" s="40"/>
    </row>
    <row r="60" spans="1:17" x14ac:dyDescent="0.2">
      <c r="K60" s="40"/>
    </row>
    <row r="61" spans="1:17" x14ac:dyDescent="0.2">
      <c r="G61" s="40"/>
    </row>
    <row r="62" spans="1:17" x14ac:dyDescent="0.2">
      <c r="D62" s="40"/>
      <c r="F62" s="40"/>
      <c r="G62" s="40"/>
      <c r="K62" s="40"/>
      <c r="N62" s="40"/>
    </row>
    <row r="63" spans="1:17" x14ac:dyDescent="0.2">
      <c r="G63" s="40"/>
      <c r="I63" s="40"/>
      <c r="J63" s="42"/>
      <c r="N63" s="40"/>
    </row>
    <row r="64" spans="1:17" x14ac:dyDescent="0.2">
      <c r="D64" s="40"/>
      <c r="J64" s="40"/>
      <c r="L64" s="40"/>
      <c r="N64" s="40"/>
    </row>
    <row r="65" spans="8:14" x14ac:dyDescent="0.2">
      <c r="H65" s="40"/>
      <c r="J65" s="40"/>
      <c r="N65" s="40"/>
    </row>
    <row r="66" spans="8:14" x14ac:dyDescent="0.2">
      <c r="J66" s="40"/>
    </row>
  </sheetData>
  <mergeCells count="5">
    <mergeCell ref="A1:O1"/>
    <mergeCell ref="A2:O2"/>
    <mergeCell ref="A3:O3"/>
    <mergeCell ref="C59:O59"/>
    <mergeCell ref="A59:B59"/>
  </mergeCells>
  <pageMargins left="1.4566929133858268" right="0.74803149606299213" top="0.39370078740157483" bottom="0.98425196850393704" header="0" footer="0"/>
  <pageSetup paperSize="14" scale="5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8"/>
  <sheetViews>
    <sheetView showGridLines="0" zoomScale="80" zoomScaleNormal="80" zoomScaleSheetLayoutView="80" workbookViewId="0">
      <pane xSplit="2" ySplit="7" topLeftCell="C17" activePane="bottomRight" state="frozen"/>
      <selection pane="topRight" activeCell="C1" sqref="C1"/>
      <selection pane="bottomLeft" activeCell="A8" sqref="A8"/>
      <selection pane="bottomRight" activeCell="H34" sqref="H34"/>
    </sheetView>
  </sheetViews>
  <sheetFormatPr baseColWidth="10" defaultRowHeight="14.25" x14ac:dyDescent="0.2"/>
  <cols>
    <col min="1" max="1" width="16" style="1" customWidth="1"/>
    <col min="2" max="2" width="49.625" style="1" customWidth="1"/>
    <col min="3" max="3" width="21.625" style="1" customWidth="1"/>
    <col min="4" max="4" width="16.125" style="1" customWidth="1"/>
    <col min="5" max="5" width="19.75" style="1" bestFit="1" customWidth="1"/>
    <col min="6" max="8" width="14.625" style="1" customWidth="1"/>
    <col min="9" max="9" width="17.875" style="1" bestFit="1" customWidth="1"/>
    <col min="10" max="10" width="20.625" style="1" bestFit="1" customWidth="1"/>
    <col min="11" max="11" width="15" style="1" bestFit="1" customWidth="1"/>
    <col min="12" max="12" width="16" style="1" customWidth="1"/>
    <col min="13" max="13" width="11.875" style="1" bestFit="1" customWidth="1"/>
    <col min="14" max="14" width="17.375" style="41" hidden="1" customWidth="1"/>
    <col min="15" max="15" width="16.25" style="1" bestFit="1" customWidth="1"/>
    <col min="16" max="16" width="8.5" style="1" customWidth="1"/>
    <col min="17" max="17" width="13.5" style="1" bestFit="1" customWidth="1"/>
    <col min="18" max="18" width="10.125" style="1" bestFit="1" customWidth="1"/>
    <col min="19" max="257" width="11" style="1"/>
    <col min="258" max="258" width="16" style="1" customWidth="1"/>
    <col min="259" max="259" width="49.625" style="1" customWidth="1"/>
    <col min="260" max="260" width="15.25" style="1" customWidth="1"/>
    <col min="261" max="267" width="14.625" style="1" customWidth="1"/>
    <col min="268" max="268" width="0" style="1" hidden="1" customWidth="1"/>
    <col min="269" max="269" width="7.875" style="1" customWidth="1"/>
    <col min="270" max="270" width="17.375" style="1" customWidth="1"/>
    <col min="271" max="271" width="14.625" style="1" customWidth="1"/>
    <col min="272" max="272" width="8.5" style="1" customWidth="1"/>
    <col min="273" max="273" width="11" style="1"/>
    <col min="274" max="274" width="10.125" style="1" bestFit="1" customWidth="1"/>
    <col min="275" max="513" width="11" style="1"/>
    <col min="514" max="514" width="16" style="1" customWidth="1"/>
    <col min="515" max="515" width="49.625" style="1" customWidth="1"/>
    <col min="516" max="516" width="15.25" style="1" customWidth="1"/>
    <col min="517" max="523" width="14.625" style="1" customWidth="1"/>
    <col min="524" max="524" width="0" style="1" hidden="1" customWidth="1"/>
    <col min="525" max="525" width="7.875" style="1" customWidth="1"/>
    <col min="526" max="526" width="17.375" style="1" customWidth="1"/>
    <col min="527" max="527" width="14.625" style="1" customWidth="1"/>
    <col min="528" max="528" width="8.5" style="1" customWidth="1"/>
    <col min="529" max="529" width="11" style="1"/>
    <col min="530" max="530" width="10.125" style="1" bestFit="1" customWidth="1"/>
    <col min="531" max="769" width="11" style="1"/>
    <col min="770" max="770" width="16" style="1" customWidth="1"/>
    <col min="771" max="771" width="49.625" style="1" customWidth="1"/>
    <col min="772" max="772" width="15.25" style="1" customWidth="1"/>
    <col min="773" max="779" width="14.625" style="1" customWidth="1"/>
    <col min="780" max="780" width="0" style="1" hidden="1" customWidth="1"/>
    <col min="781" max="781" width="7.875" style="1" customWidth="1"/>
    <col min="782" max="782" width="17.375" style="1" customWidth="1"/>
    <col min="783" max="783" width="14.625" style="1" customWidth="1"/>
    <col min="784" max="784" width="8.5" style="1" customWidth="1"/>
    <col min="785" max="785" width="11" style="1"/>
    <col min="786" max="786" width="10.125" style="1" bestFit="1" customWidth="1"/>
    <col min="787" max="1025" width="11" style="1"/>
    <col min="1026" max="1026" width="16" style="1" customWidth="1"/>
    <col min="1027" max="1027" width="49.625" style="1" customWidth="1"/>
    <col min="1028" max="1028" width="15.25" style="1" customWidth="1"/>
    <col min="1029" max="1035" width="14.625" style="1" customWidth="1"/>
    <col min="1036" max="1036" width="0" style="1" hidden="1" customWidth="1"/>
    <col min="1037" max="1037" width="7.875" style="1" customWidth="1"/>
    <col min="1038" max="1038" width="17.375" style="1" customWidth="1"/>
    <col min="1039" max="1039" width="14.625" style="1" customWidth="1"/>
    <col min="1040" max="1040" width="8.5" style="1" customWidth="1"/>
    <col min="1041" max="1041" width="11" style="1"/>
    <col min="1042" max="1042" width="10.125" style="1" bestFit="1" customWidth="1"/>
    <col min="1043" max="1281" width="11" style="1"/>
    <col min="1282" max="1282" width="16" style="1" customWidth="1"/>
    <col min="1283" max="1283" width="49.625" style="1" customWidth="1"/>
    <col min="1284" max="1284" width="15.25" style="1" customWidth="1"/>
    <col min="1285" max="1291" width="14.625" style="1" customWidth="1"/>
    <col min="1292" max="1292" width="0" style="1" hidden="1" customWidth="1"/>
    <col min="1293" max="1293" width="7.875" style="1" customWidth="1"/>
    <col min="1294" max="1294" width="17.375" style="1" customWidth="1"/>
    <col min="1295" max="1295" width="14.625" style="1" customWidth="1"/>
    <col min="1296" max="1296" width="8.5" style="1" customWidth="1"/>
    <col min="1297" max="1297" width="11" style="1"/>
    <col min="1298" max="1298" width="10.125" style="1" bestFit="1" customWidth="1"/>
    <col min="1299" max="1537" width="11" style="1"/>
    <col min="1538" max="1538" width="16" style="1" customWidth="1"/>
    <col min="1539" max="1539" width="49.625" style="1" customWidth="1"/>
    <col min="1540" max="1540" width="15.25" style="1" customWidth="1"/>
    <col min="1541" max="1547" width="14.625" style="1" customWidth="1"/>
    <col min="1548" max="1548" width="0" style="1" hidden="1" customWidth="1"/>
    <col min="1549" max="1549" width="7.875" style="1" customWidth="1"/>
    <col min="1550" max="1550" width="17.375" style="1" customWidth="1"/>
    <col min="1551" max="1551" width="14.625" style="1" customWidth="1"/>
    <col min="1552" max="1552" width="8.5" style="1" customWidth="1"/>
    <col min="1553" max="1553" width="11" style="1"/>
    <col min="1554" max="1554" width="10.125" style="1" bestFit="1" customWidth="1"/>
    <col min="1555" max="1793" width="11" style="1"/>
    <col min="1794" max="1794" width="16" style="1" customWidth="1"/>
    <col min="1795" max="1795" width="49.625" style="1" customWidth="1"/>
    <col min="1796" max="1796" width="15.25" style="1" customWidth="1"/>
    <col min="1797" max="1803" width="14.625" style="1" customWidth="1"/>
    <col min="1804" max="1804" width="0" style="1" hidden="1" customWidth="1"/>
    <col min="1805" max="1805" width="7.875" style="1" customWidth="1"/>
    <col min="1806" max="1806" width="17.375" style="1" customWidth="1"/>
    <col min="1807" max="1807" width="14.625" style="1" customWidth="1"/>
    <col min="1808" max="1808" width="8.5" style="1" customWidth="1"/>
    <col min="1809" max="1809" width="11" style="1"/>
    <col min="1810" max="1810" width="10.125" style="1" bestFit="1" customWidth="1"/>
    <col min="1811" max="2049" width="11" style="1"/>
    <col min="2050" max="2050" width="16" style="1" customWidth="1"/>
    <col min="2051" max="2051" width="49.625" style="1" customWidth="1"/>
    <col min="2052" max="2052" width="15.25" style="1" customWidth="1"/>
    <col min="2053" max="2059" width="14.625" style="1" customWidth="1"/>
    <col min="2060" max="2060" width="0" style="1" hidden="1" customWidth="1"/>
    <col min="2061" max="2061" width="7.875" style="1" customWidth="1"/>
    <col min="2062" max="2062" width="17.375" style="1" customWidth="1"/>
    <col min="2063" max="2063" width="14.625" style="1" customWidth="1"/>
    <col min="2064" max="2064" width="8.5" style="1" customWidth="1"/>
    <col min="2065" max="2065" width="11" style="1"/>
    <col min="2066" max="2066" width="10.125" style="1" bestFit="1" customWidth="1"/>
    <col min="2067" max="2305" width="11" style="1"/>
    <col min="2306" max="2306" width="16" style="1" customWidth="1"/>
    <col min="2307" max="2307" width="49.625" style="1" customWidth="1"/>
    <col min="2308" max="2308" width="15.25" style="1" customWidth="1"/>
    <col min="2309" max="2315" width="14.625" style="1" customWidth="1"/>
    <col min="2316" max="2316" width="0" style="1" hidden="1" customWidth="1"/>
    <col min="2317" max="2317" width="7.875" style="1" customWidth="1"/>
    <col min="2318" max="2318" width="17.375" style="1" customWidth="1"/>
    <col min="2319" max="2319" width="14.625" style="1" customWidth="1"/>
    <col min="2320" max="2320" width="8.5" style="1" customWidth="1"/>
    <col min="2321" max="2321" width="11" style="1"/>
    <col min="2322" max="2322" width="10.125" style="1" bestFit="1" customWidth="1"/>
    <col min="2323" max="2561" width="11" style="1"/>
    <col min="2562" max="2562" width="16" style="1" customWidth="1"/>
    <col min="2563" max="2563" width="49.625" style="1" customWidth="1"/>
    <col min="2564" max="2564" width="15.25" style="1" customWidth="1"/>
    <col min="2565" max="2571" width="14.625" style="1" customWidth="1"/>
    <col min="2572" max="2572" width="0" style="1" hidden="1" customWidth="1"/>
    <col min="2573" max="2573" width="7.875" style="1" customWidth="1"/>
    <col min="2574" max="2574" width="17.375" style="1" customWidth="1"/>
    <col min="2575" max="2575" width="14.625" style="1" customWidth="1"/>
    <col min="2576" max="2576" width="8.5" style="1" customWidth="1"/>
    <col min="2577" max="2577" width="11" style="1"/>
    <col min="2578" max="2578" width="10.125" style="1" bestFit="1" customWidth="1"/>
    <col min="2579" max="2817" width="11" style="1"/>
    <col min="2818" max="2818" width="16" style="1" customWidth="1"/>
    <col min="2819" max="2819" width="49.625" style="1" customWidth="1"/>
    <col min="2820" max="2820" width="15.25" style="1" customWidth="1"/>
    <col min="2821" max="2827" width="14.625" style="1" customWidth="1"/>
    <col min="2828" max="2828" width="0" style="1" hidden="1" customWidth="1"/>
    <col min="2829" max="2829" width="7.875" style="1" customWidth="1"/>
    <col min="2830" max="2830" width="17.375" style="1" customWidth="1"/>
    <col min="2831" max="2831" width="14.625" style="1" customWidth="1"/>
    <col min="2832" max="2832" width="8.5" style="1" customWidth="1"/>
    <col min="2833" max="2833" width="11" style="1"/>
    <col min="2834" max="2834" width="10.125" style="1" bestFit="1" customWidth="1"/>
    <col min="2835" max="3073" width="11" style="1"/>
    <col min="3074" max="3074" width="16" style="1" customWidth="1"/>
    <col min="3075" max="3075" width="49.625" style="1" customWidth="1"/>
    <col min="3076" max="3076" width="15.25" style="1" customWidth="1"/>
    <col min="3077" max="3083" width="14.625" style="1" customWidth="1"/>
    <col min="3084" max="3084" width="0" style="1" hidden="1" customWidth="1"/>
    <col min="3085" max="3085" width="7.875" style="1" customWidth="1"/>
    <col min="3086" max="3086" width="17.375" style="1" customWidth="1"/>
    <col min="3087" max="3087" width="14.625" style="1" customWidth="1"/>
    <col min="3088" max="3088" width="8.5" style="1" customWidth="1"/>
    <col min="3089" max="3089" width="11" style="1"/>
    <col min="3090" max="3090" width="10.125" style="1" bestFit="1" customWidth="1"/>
    <col min="3091" max="3329" width="11" style="1"/>
    <col min="3330" max="3330" width="16" style="1" customWidth="1"/>
    <col min="3331" max="3331" width="49.625" style="1" customWidth="1"/>
    <col min="3332" max="3332" width="15.25" style="1" customWidth="1"/>
    <col min="3333" max="3339" width="14.625" style="1" customWidth="1"/>
    <col min="3340" max="3340" width="0" style="1" hidden="1" customWidth="1"/>
    <col min="3341" max="3341" width="7.875" style="1" customWidth="1"/>
    <col min="3342" max="3342" width="17.375" style="1" customWidth="1"/>
    <col min="3343" max="3343" width="14.625" style="1" customWidth="1"/>
    <col min="3344" max="3344" width="8.5" style="1" customWidth="1"/>
    <col min="3345" max="3345" width="11" style="1"/>
    <col min="3346" max="3346" width="10.125" style="1" bestFit="1" customWidth="1"/>
    <col min="3347" max="3585" width="11" style="1"/>
    <col min="3586" max="3586" width="16" style="1" customWidth="1"/>
    <col min="3587" max="3587" width="49.625" style="1" customWidth="1"/>
    <col min="3588" max="3588" width="15.25" style="1" customWidth="1"/>
    <col min="3589" max="3595" width="14.625" style="1" customWidth="1"/>
    <col min="3596" max="3596" width="0" style="1" hidden="1" customWidth="1"/>
    <col min="3597" max="3597" width="7.875" style="1" customWidth="1"/>
    <col min="3598" max="3598" width="17.375" style="1" customWidth="1"/>
    <col min="3599" max="3599" width="14.625" style="1" customWidth="1"/>
    <col min="3600" max="3600" width="8.5" style="1" customWidth="1"/>
    <col min="3601" max="3601" width="11" style="1"/>
    <col min="3602" max="3602" width="10.125" style="1" bestFit="1" customWidth="1"/>
    <col min="3603" max="3841" width="11" style="1"/>
    <col min="3842" max="3842" width="16" style="1" customWidth="1"/>
    <col min="3843" max="3843" width="49.625" style="1" customWidth="1"/>
    <col min="3844" max="3844" width="15.25" style="1" customWidth="1"/>
    <col min="3845" max="3851" width="14.625" style="1" customWidth="1"/>
    <col min="3852" max="3852" width="0" style="1" hidden="1" customWidth="1"/>
    <col min="3853" max="3853" width="7.875" style="1" customWidth="1"/>
    <col min="3854" max="3854" width="17.375" style="1" customWidth="1"/>
    <col min="3855" max="3855" width="14.625" style="1" customWidth="1"/>
    <col min="3856" max="3856" width="8.5" style="1" customWidth="1"/>
    <col min="3857" max="3857" width="11" style="1"/>
    <col min="3858" max="3858" width="10.125" style="1" bestFit="1" customWidth="1"/>
    <col min="3859" max="4097" width="11" style="1"/>
    <col min="4098" max="4098" width="16" style="1" customWidth="1"/>
    <col min="4099" max="4099" width="49.625" style="1" customWidth="1"/>
    <col min="4100" max="4100" width="15.25" style="1" customWidth="1"/>
    <col min="4101" max="4107" width="14.625" style="1" customWidth="1"/>
    <col min="4108" max="4108" width="0" style="1" hidden="1" customWidth="1"/>
    <col min="4109" max="4109" width="7.875" style="1" customWidth="1"/>
    <col min="4110" max="4110" width="17.375" style="1" customWidth="1"/>
    <col min="4111" max="4111" width="14.625" style="1" customWidth="1"/>
    <col min="4112" max="4112" width="8.5" style="1" customWidth="1"/>
    <col min="4113" max="4113" width="11" style="1"/>
    <col min="4114" max="4114" width="10.125" style="1" bestFit="1" customWidth="1"/>
    <col min="4115" max="4353" width="11" style="1"/>
    <col min="4354" max="4354" width="16" style="1" customWidth="1"/>
    <col min="4355" max="4355" width="49.625" style="1" customWidth="1"/>
    <col min="4356" max="4356" width="15.25" style="1" customWidth="1"/>
    <col min="4357" max="4363" width="14.625" style="1" customWidth="1"/>
    <col min="4364" max="4364" width="0" style="1" hidden="1" customWidth="1"/>
    <col min="4365" max="4365" width="7.875" style="1" customWidth="1"/>
    <col min="4366" max="4366" width="17.375" style="1" customWidth="1"/>
    <col min="4367" max="4367" width="14.625" style="1" customWidth="1"/>
    <col min="4368" max="4368" width="8.5" style="1" customWidth="1"/>
    <col min="4369" max="4369" width="11" style="1"/>
    <col min="4370" max="4370" width="10.125" style="1" bestFit="1" customWidth="1"/>
    <col min="4371" max="4609" width="11" style="1"/>
    <col min="4610" max="4610" width="16" style="1" customWidth="1"/>
    <col min="4611" max="4611" width="49.625" style="1" customWidth="1"/>
    <col min="4612" max="4612" width="15.25" style="1" customWidth="1"/>
    <col min="4613" max="4619" width="14.625" style="1" customWidth="1"/>
    <col min="4620" max="4620" width="0" style="1" hidden="1" customWidth="1"/>
    <col min="4621" max="4621" width="7.875" style="1" customWidth="1"/>
    <col min="4622" max="4622" width="17.375" style="1" customWidth="1"/>
    <col min="4623" max="4623" width="14.625" style="1" customWidth="1"/>
    <col min="4624" max="4624" width="8.5" style="1" customWidth="1"/>
    <col min="4625" max="4625" width="11" style="1"/>
    <col min="4626" max="4626" width="10.125" style="1" bestFit="1" customWidth="1"/>
    <col min="4627" max="4865" width="11" style="1"/>
    <col min="4866" max="4866" width="16" style="1" customWidth="1"/>
    <col min="4867" max="4867" width="49.625" style="1" customWidth="1"/>
    <col min="4868" max="4868" width="15.25" style="1" customWidth="1"/>
    <col min="4869" max="4875" width="14.625" style="1" customWidth="1"/>
    <col min="4876" max="4876" width="0" style="1" hidden="1" customWidth="1"/>
    <col min="4877" max="4877" width="7.875" style="1" customWidth="1"/>
    <col min="4878" max="4878" width="17.375" style="1" customWidth="1"/>
    <col min="4879" max="4879" width="14.625" style="1" customWidth="1"/>
    <col min="4880" max="4880" width="8.5" style="1" customWidth="1"/>
    <col min="4881" max="4881" width="11" style="1"/>
    <col min="4882" max="4882" width="10.125" style="1" bestFit="1" customWidth="1"/>
    <col min="4883" max="5121" width="11" style="1"/>
    <col min="5122" max="5122" width="16" style="1" customWidth="1"/>
    <col min="5123" max="5123" width="49.625" style="1" customWidth="1"/>
    <col min="5124" max="5124" width="15.25" style="1" customWidth="1"/>
    <col min="5125" max="5131" width="14.625" style="1" customWidth="1"/>
    <col min="5132" max="5132" width="0" style="1" hidden="1" customWidth="1"/>
    <col min="5133" max="5133" width="7.875" style="1" customWidth="1"/>
    <col min="5134" max="5134" width="17.375" style="1" customWidth="1"/>
    <col min="5135" max="5135" width="14.625" style="1" customWidth="1"/>
    <col min="5136" max="5136" width="8.5" style="1" customWidth="1"/>
    <col min="5137" max="5137" width="11" style="1"/>
    <col min="5138" max="5138" width="10.125" style="1" bestFit="1" customWidth="1"/>
    <col min="5139" max="5377" width="11" style="1"/>
    <col min="5378" max="5378" width="16" style="1" customWidth="1"/>
    <col min="5379" max="5379" width="49.625" style="1" customWidth="1"/>
    <col min="5380" max="5380" width="15.25" style="1" customWidth="1"/>
    <col min="5381" max="5387" width="14.625" style="1" customWidth="1"/>
    <col min="5388" max="5388" width="0" style="1" hidden="1" customWidth="1"/>
    <col min="5389" max="5389" width="7.875" style="1" customWidth="1"/>
    <col min="5390" max="5390" width="17.375" style="1" customWidth="1"/>
    <col min="5391" max="5391" width="14.625" style="1" customWidth="1"/>
    <col min="5392" max="5392" width="8.5" style="1" customWidth="1"/>
    <col min="5393" max="5393" width="11" style="1"/>
    <col min="5394" max="5394" width="10.125" style="1" bestFit="1" customWidth="1"/>
    <col min="5395" max="5633" width="11" style="1"/>
    <col min="5634" max="5634" width="16" style="1" customWidth="1"/>
    <col min="5635" max="5635" width="49.625" style="1" customWidth="1"/>
    <col min="5636" max="5636" width="15.25" style="1" customWidth="1"/>
    <col min="5637" max="5643" width="14.625" style="1" customWidth="1"/>
    <col min="5644" max="5644" width="0" style="1" hidden="1" customWidth="1"/>
    <col min="5645" max="5645" width="7.875" style="1" customWidth="1"/>
    <col min="5646" max="5646" width="17.375" style="1" customWidth="1"/>
    <col min="5647" max="5647" width="14.625" style="1" customWidth="1"/>
    <col min="5648" max="5648" width="8.5" style="1" customWidth="1"/>
    <col min="5649" max="5649" width="11" style="1"/>
    <col min="5650" max="5650" width="10.125" style="1" bestFit="1" customWidth="1"/>
    <col min="5651" max="5889" width="11" style="1"/>
    <col min="5890" max="5890" width="16" style="1" customWidth="1"/>
    <col min="5891" max="5891" width="49.625" style="1" customWidth="1"/>
    <col min="5892" max="5892" width="15.25" style="1" customWidth="1"/>
    <col min="5893" max="5899" width="14.625" style="1" customWidth="1"/>
    <col min="5900" max="5900" width="0" style="1" hidden="1" customWidth="1"/>
    <col min="5901" max="5901" width="7.875" style="1" customWidth="1"/>
    <col min="5902" max="5902" width="17.375" style="1" customWidth="1"/>
    <col min="5903" max="5903" width="14.625" style="1" customWidth="1"/>
    <col min="5904" max="5904" width="8.5" style="1" customWidth="1"/>
    <col min="5905" max="5905" width="11" style="1"/>
    <col min="5906" max="5906" width="10.125" style="1" bestFit="1" customWidth="1"/>
    <col min="5907" max="6145" width="11" style="1"/>
    <col min="6146" max="6146" width="16" style="1" customWidth="1"/>
    <col min="6147" max="6147" width="49.625" style="1" customWidth="1"/>
    <col min="6148" max="6148" width="15.25" style="1" customWidth="1"/>
    <col min="6149" max="6155" width="14.625" style="1" customWidth="1"/>
    <col min="6156" max="6156" width="0" style="1" hidden="1" customWidth="1"/>
    <col min="6157" max="6157" width="7.875" style="1" customWidth="1"/>
    <col min="6158" max="6158" width="17.375" style="1" customWidth="1"/>
    <col min="6159" max="6159" width="14.625" style="1" customWidth="1"/>
    <col min="6160" max="6160" width="8.5" style="1" customWidth="1"/>
    <col min="6161" max="6161" width="11" style="1"/>
    <col min="6162" max="6162" width="10.125" style="1" bestFit="1" customWidth="1"/>
    <col min="6163" max="6401" width="11" style="1"/>
    <col min="6402" max="6402" width="16" style="1" customWidth="1"/>
    <col min="6403" max="6403" width="49.625" style="1" customWidth="1"/>
    <col min="6404" max="6404" width="15.25" style="1" customWidth="1"/>
    <col min="6405" max="6411" width="14.625" style="1" customWidth="1"/>
    <col min="6412" max="6412" width="0" style="1" hidden="1" customWidth="1"/>
    <col min="6413" max="6413" width="7.875" style="1" customWidth="1"/>
    <col min="6414" max="6414" width="17.375" style="1" customWidth="1"/>
    <col min="6415" max="6415" width="14.625" style="1" customWidth="1"/>
    <col min="6416" max="6416" width="8.5" style="1" customWidth="1"/>
    <col min="6417" max="6417" width="11" style="1"/>
    <col min="6418" max="6418" width="10.125" style="1" bestFit="1" customWidth="1"/>
    <col min="6419" max="6657" width="11" style="1"/>
    <col min="6658" max="6658" width="16" style="1" customWidth="1"/>
    <col min="6659" max="6659" width="49.625" style="1" customWidth="1"/>
    <col min="6660" max="6660" width="15.25" style="1" customWidth="1"/>
    <col min="6661" max="6667" width="14.625" style="1" customWidth="1"/>
    <col min="6668" max="6668" width="0" style="1" hidden="1" customWidth="1"/>
    <col min="6669" max="6669" width="7.875" style="1" customWidth="1"/>
    <col min="6670" max="6670" width="17.375" style="1" customWidth="1"/>
    <col min="6671" max="6671" width="14.625" style="1" customWidth="1"/>
    <col min="6672" max="6672" width="8.5" style="1" customWidth="1"/>
    <col min="6673" max="6673" width="11" style="1"/>
    <col min="6674" max="6674" width="10.125" style="1" bestFit="1" customWidth="1"/>
    <col min="6675" max="6913" width="11" style="1"/>
    <col min="6914" max="6914" width="16" style="1" customWidth="1"/>
    <col min="6915" max="6915" width="49.625" style="1" customWidth="1"/>
    <col min="6916" max="6916" width="15.25" style="1" customWidth="1"/>
    <col min="6917" max="6923" width="14.625" style="1" customWidth="1"/>
    <col min="6924" max="6924" width="0" style="1" hidden="1" customWidth="1"/>
    <col min="6925" max="6925" width="7.875" style="1" customWidth="1"/>
    <col min="6926" max="6926" width="17.375" style="1" customWidth="1"/>
    <col min="6927" max="6927" width="14.625" style="1" customWidth="1"/>
    <col min="6928" max="6928" width="8.5" style="1" customWidth="1"/>
    <col min="6929" max="6929" width="11" style="1"/>
    <col min="6930" max="6930" width="10.125" style="1" bestFit="1" customWidth="1"/>
    <col min="6931" max="7169" width="11" style="1"/>
    <col min="7170" max="7170" width="16" style="1" customWidth="1"/>
    <col min="7171" max="7171" width="49.625" style="1" customWidth="1"/>
    <col min="7172" max="7172" width="15.25" style="1" customWidth="1"/>
    <col min="7173" max="7179" width="14.625" style="1" customWidth="1"/>
    <col min="7180" max="7180" width="0" style="1" hidden="1" customWidth="1"/>
    <col min="7181" max="7181" width="7.875" style="1" customWidth="1"/>
    <col min="7182" max="7182" width="17.375" style="1" customWidth="1"/>
    <col min="7183" max="7183" width="14.625" style="1" customWidth="1"/>
    <col min="7184" max="7184" width="8.5" style="1" customWidth="1"/>
    <col min="7185" max="7185" width="11" style="1"/>
    <col min="7186" max="7186" width="10.125" style="1" bestFit="1" customWidth="1"/>
    <col min="7187" max="7425" width="11" style="1"/>
    <col min="7426" max="7426" width="16" style="1" customWidth="1"/>
    <col min="7427" max="7427" width="49.625" style="1" customWidth="1"/>
    <col min="7428" max="7428" width="15.25" style="1" customWidth="1"/>
    <col min="7429" max="7435" width="14.625" style="1" customWidth="1"/>
    <col min="7436" max="7436" width="0" style="1" hidden="1" customWidth="1"/>
    <col min="7437" max="7437" width="7.875" style="1" customWidth="1"/>
    <col min="7438" max="7438" width="17.375" style="1" customWidth="1"/>
    <col min="7439" max="7439" width="14.625" style="1" customWidth="1"/>
    <col min="7440" max="7440" width="8.5" style="1" customWidth="1"/>
    <col min="7441" max="7441" width="11" style="1"/>
    <col min="7442" max="7442" width="10.125" style="1" bestFit="1" customWidth="1"/>
    <col min="7443" max="7681" width="11" style="1"/>
    <col min="7682" max="7682" width="16" style="1" customWidth="1"/>
    <col min="7683" max="7683" width="49.625" style="1" customWidth="1"/>
    <col min="7684" max="7684" width="15.25" style="1" customWidth="1"/>
    <col min="7685" max="7691" width="14.625" style="1" customWidth="1"/>
    <col min="7692" max="7692" width="0" style="1" hidden="1" customWidth="1"/>
    <col min="7693" max="7693" width="7.875" style="1" customWidth="1"/>
    <col min="7694" max="7694" width="17.375" style="1" customWidth="1"/>
    <col min="7695" max="7695" width="14.625" style="1" customWidth="1"/>
    <col min="7696" max="7696" width="8.5" style="1" customWidth="1"/>
    <col min="7697" max="7697" width="11" style="1"/>
    <col min="7698" max="7698" width="10.125" style="1" bestFit="1" customWidth="1"/>
    <col min="7699" max="7937" width="11" style="1"/>
    <col min="7938" max="7938" width="16" style="1" customWidth="1"/>
    <col min="7939" max="7939" width="49.625" style="1" customWidth="1"/>
    <col min="7940" max="7940" width="15.25" style="1" customWidth="1"/>
    <col min="7941" max="7947" width="14.625" style="1" customWidth="1"/>
    <col min="7948" max="7948" width="0" style="1" hidden="1" customWidth="1"/>
    <col min="7949" max="7949" width="7.875" style="1" customWidth="1"/>
    <col min="7950" max="7950" width="17.375" style="1" customWidth="1"/>
    <col min="7951" max="7951" width="14.625" style="1" customWidth="1"/>
    <col min="7952" max="7952" width="8.5" style="1" customWidth="1"/>
    <col min="7953" max="7953" width="11" style="1"/>
    <col min="7954" max="7954" width="10.125" style="1" bestFit="1" customWidth="1"/>
    <col min="7955" max="8193" width="11" style="1"/>
    <col min="8194" max="8194" width="16" style="1" customWidth="1"/>
    <col min="8195" max="8195" width="49.625" style="1" customWidth="1"/>
    <col min="8196" max="8196" width="15.25" style="1" customWidth="1"/>
    <col min="8197" max="8203" width="14.625" style="1" customWidth="1"/>
    <col min="8204" max="8204" width="0" style="1" hidden="1" customWidth="1"/>
    <col min="8205" max="8205" width="7.875" style="1" customWidth="1"/>
    <col min="8206" max="8206" width="17.375" style="1" customWidth="1"/>
    <col min="8207" max="8207" width="14.625" style="1" customWidth="1"/>
    <col min="8208" max="8208" width="8.5" style="1" customWidth="1"/>
    <col min="8209" max="8209" width="11" style="1"/>
    <col min="8210" max="8210" width="10.125" style="1" bestFit="1" customWidth="1"/>
    <col min="8211" max="8449" width="11" style="1"/>
    <col min="8450" max="8450" width="16" style="1" customWidth="1"/>
    <col min="8451" max="8451" width="49.625" style="1" customWidth="1"/>
    <col min="8452" max="8452" width="15.25" style="1" customWidth="1"/>
    <col min="8453" max="8459" width="14.625" style="1" customWidth="1"/>
    <col min="8460" max="8460" width="0" style="1" hidden="1" customWidth="1"/>
    <col min="8461" max="8461" width="7.875" style="1" customWidth="1"/>
    <col min="8462" max="8462" width="17.375" style="1" customWidth="1"/>
    <col min="8463" max="8463" width="14.625" style="1" customWidth="1"/>
    <col min="8464" max="8464" width="8.5" style="1" customWidth="1"/>
    <col min="8465" max="8465" width="11" style="1"/>
    <col min="8466" max="8466" width="10.125" style="1" bestFit="1" customWidth="1"/>
    <col min="8467" max="8705" width="11" style="1"/>
    <col min="8706" max="8706" width="16" style="1" customWidth="1"/>
    <col min="8707" max="8707" width="49.625" style="1" customWidth="1"/>
    <col min="8708" max="8708" width="15.25" style="1" customWidth="1"/>
    <col min="8709" max="8715" width="14.625" style="1" customWidth="1"/>
    <col min="8716" max="8716" width="0" style="1" hidden="1" customWidth="1"/>
    <col min="8717" max="8717" width="7.875" style="1" customWidth="1"/>
    <col min="8718" max="8718" width="17.375" style="1" customWidth="1"/>
    <col min="8719" max="8719" width="14.625" style="1" customWidth="1"/>
    <col min="8720" max="8720" width="8.5" style="1" customWidth="1"/>
    <col min="8721" max="8721" width="11" style="1"/>
    <col min="8722" max="8722" width="10.125" style="1" bestFit="1" customWidth="1"/>
    <col min="8723" max="8961" width="11" style="1"/>
    <col min="8962" max="8962" width="16" style="1" customWidth="1"/>
    <col min="8963" max="8963" width="49.625" style="1" customWidth="1"/>
    <col min="8964" max="8964" width="15.25" style="1" customWidth="1"/>
    <col min="8965" max="8971" width="14.625" style="1" customWidth="1"/>
    <col min="8972" max="8972" width="0" style="1" hidden="1" customWidth="1"/>
    <col min="8973" max="8973" width="7.875" style="1" customWidth="1"/>
    <col min="8974" max="8974" width="17.375" style="1" customWidth="1"/>
    <col min="8975" max="8975" width="14.625" style="1" customWidth="1"/>
    <col min="8976" max="8976" width="8.5" style="1" customWidth="1"/>
    <col min="8977" max="8977" width="11" style="1"/>
    <col min="8978" max="8978" width="10.125" style="1" bestFit="1" customWidth="1"/>
    <col min="8979" max="9217" width="11" style="1"/>
    <col min="9218" max="9218" width="16" style="1" customWidth="1"/>
    <col min="9219" max="9219" width="49.625" style="1" customWidth="1"/>
    <col min="9220" max="9220" width="15.25" style="1" customWidth="1"/>
    <col min="9221" max="9227" width="14.625" style="1" customWidth="1"/>
    <col min="9228" max="9228" width="0" style="1" hidden="1" customWidth="1"/>
    <col min="9229" max="9229" width="7.875" style="1" customWidth="1"/>
    <col min="9230" max="9230" width="17.375" style="1" customWidth="1"/>
    <col min="9231" max="9231" width="14.625" style="1" customWidth="1"/>
    <col min="9232" max="9232" width="8.5" style="1" customWidth="1"/>
    <col min="9233" max="9233" width="11" style="1"/>
    <col min="9234" max="9234" width="10.125" style="1" bestFit="1" customWidth="1"/>
    <col min="9235" max="9473" width="11" style="1"/>
    <col min="9474" max="9474" width="16" style="1" customWidth="1"/>
    <col min="9475" max="9475" width="49.625" style="1" customWidth="1"/>
    <col min="9476" max="9476" width="15.25" style="1" customWidth="1"/>
    <col min="9477" max="9483" width="14.625" style="1" customWidth="1"/>
    <col min="9484" max="9484" width="0" style="1" hidden="1" customWidth="1"/>
    <col min="9485" max="9485" width="7.875" style="1" customWidth="1"/>
    <col min="9486" max="9486" width="17.375" style="1" customWidth="1"/>
    <col min="9487" max="9487" width="14.625" style="1" customWidth="1"/>
    <col min="9488" max="9488" width="8.5" style="1" customWidth="1"/>
    <col min="9489" max="9489" width="11" style="1"/>
    <col min="9490" max="9490" width="10.125" style="1" bestFit="1" customWidth="1"/>
    <col min="9491" max="9729" width="11" style="1"/>
    <col min="9730" max="9730" width="16" style="1" customWidth="1"/>
    <col min="9731" max="9731" width="49.625" style="1" customWidth="1"/>
    <col min="9732" max="9732" width="15.25" style="1" customWidth="1"/>
    <col min="9733" max="9739" width="14.625" style="1" customWidth="1"/>
    <col min="9740" max="9740" width="0" style="1" hidden="1" customWidth="1"/>
    <col min="9741" max="9741" width="7.875" style="1" customWidth="1"/>
    <col min="9742" max="9742" width="17.375" style="1" customWidth="1"/>
    <col min="9743" max="9743" width="14.625" style="1" customWidth="1"/>
    <col min="9744" max="9744" width="8.5" style="1" customWidth="1"/>
    <col min="9745" max="9745" width="11" style="1"/>
    <col min="9746" max="9746" width="10.125" style="1" bestFit="1" customWidth="1"/>
    <col min="9747" max="9985" width="11" style="1"/>
    <col min="9986" max="9986" width="16" style="1" customWidth="1"/>
    <col min="9987" max="9987" width="49.625" style="1" customWidth="1"/>
    <col min="9988" max="9988" width="15.25" style="1" customWidth="1"/>
    <col min="9989" max="9995" width="14.625" style="1" customWidth="1"/>
    <col min="9996" max="9996" width="0" style="1" hidden="1" customWidth="1"/>
    <col min="9997" max="9997" width="7.875" style="1" customWidth="1"/>
    <col min="9998" max="9998" width="17.375" style="1" customWidth="1"/>
    <col min="9999" max="9999" width="14.625" style="1" customWidth="1"/>
    <col min="10000" max="10000" width="8.5" style="1" customWidth="1"/>
    <col min="10001" max="10001" width="11" style="1"/>
    <col min="10002" max="10002" width="10.125" style="1" bestFit="1" customWidth="1"/>
    <col min="10003" max="10241" width="11" style="1"/>
    <col min="10242" max="10242" width="16" style="1" customWidth="1"/>
    <col min="10243" max="10243" width="49.625" style="1" customWidth="1"/>
    <col min="10244" max="10244" width="15.25" style="1" customWidth="1"/>
    <col min="10245" max="10251" width="14.625" style="1" customWidth="1"/>
    <col min="10252" max="10252" width="0" style="1" hidden="1" customWidth="1"/>
    <col min="10253" max="10253" width="7.875" style="1" customWidth="1"/>
    <col min="10254" max="10254" width="17.375" style="1" customWidth="1"/>
    <col min="10255" max="10255" width="14.625" style="1" customWidth="1"/>
    <col min="10256" max="10256" width="8.5" style="1" customWidth="1"/>
    <col min="10257" max="10257" width="11" style="1"/>
    <col min="10258" max="10258" width="10.125" style="1" bestFit="1" customWidth="1"/>
    <col min="10259" max="10497" width="11" style="1"/>
    <col min="10498" max="10498" width="16" style="1" customWidth="1"/>
    <col min="10499" max="10499" width="49.625" style="1" customWidth="1"/>
    <col min="10500" max="10500" width="15.25" style="1" customWidth="1"/>
    <col min="10501" max="10507" width="14.625" style="1" customWidth="1"/>
    <col min="10508" max="10508" width="0" style="1" hidden="1" customWidth="1"/>
    <col min="10509" max="10509" width="7.875" style="1" customWidth="1"/>
    <col min="10510" max="10510" width="17.375" style="1" customWidth="1"/>
    <col min="10511" max="10511" width="14.625" style="1" customWidth="1"/>
    <col min="10512" max="10512" width="8.5" style="1" customWidth="1"/>
    <col min="10513" max="10513" width="11" style="1"/>
    <col min="10514" max="10514" width="10.125" style="1" bestFit="1" customWidth="1"/>
    <col min="10515" max="10753" width="11" style="1"/>
    <col min="10754" max="10754" width="16" style="1" customWidth="1"/>
    <col min="10755" max="10755" width="49.625" style="1" customWidth="1"/>
    <col min="10756" max="10756" width="15.25" style="1" customWidth="1"/>
    <col min="10757" max="10763" width="14.625" style="1" customWidth="1"/>
    <col min="10764" max="10764" width="0" style="1" hidden="1" customWidth="1"/>
    <col min="10765" max="10765" width="7.875" style="1" customWidth="1"/>
    <col min="10766" max="10766" width="17.375" style="1" customWidth="1"/>
    <col min="10767" max="10767" width="14.625" style="1" customWidth="1"/>
    <col min="10768" max="10768" width="8.5" style="1" customWidth="1"/>
    <col min="10769" max="10769" width="11" style="1"/>
    <col min="10770" max="10770" width="10.125" style="1" bestFit="1" customWidth="1"/>
    <col min="10771" max="11009" width="11" style="1"/>
    <col min="11010" max="11010" width="16" style="1" customWidth="1"/>
    <col min="11011" max="11011" width="49.625" style="1" customWidth="1"/>
    <col min="11012" max="11012" width="15.25" style="1" customWidth="1"/>
    <col min="11013" max="11019" width="14.625" style="1" customWidth="1"/>
    <col min="11020" max="11020" width="0" style="1" hidden="1" customWidth="1"/>
    <col min="11021" max="11021" width="7.875" style="1" customWidth="1"/>
    <col min="11022" max="11022" width="17.375" style="1" customWidth="1"/>
    <col min="11023" max="11023" width="14.625" style="1" customWidth="1"/>
    <col min="11024" max="11024" width="8.5" style="1" customWidth="1"/>
    <col min="11025" max="11025" width="11" style="1"/>
    <col min="11026" max="11026" width="10.125" style="1" bestFit="1" customWidth="1"/>
    <col min="11027" max="11265" width="11" style="1"/>
    <col min="11266" max="11266" width="16" style="1" customWidth="1"/>
    <col min="11267" max="11267" width="49.625" style="1" customWidth="1"/>
    <col min="11268" max="11268" width="15.25" style="1" customWidth="1"/>
    <col min="11269" max="11275" width="14.625" style="1" customWidth="1"/>
    <col min="11276" max="11276" width="0" style="1" hidden="1" customWidth="1"/>
    <col min="11277" max="11277" width="7.875" style="1" customWidth="1"/>
    <col min="11278" max="11278" width="17.375" style="1" customWidth="1"/>
    <col min="11279" max="11279" width="14.625" style="1" customWidth="1"/>
    <col min="11280" max="11280" width="8.5" style="1" customWidth="1"/>
    <col min="11281" max="11281" width="11" style="1"/>
    <col min="11282" max="11282" width="10.125" style="1" bestFit="1" customWidth="1"/>
    <col min="11283" max="11521" width="11" style="1"/>
    <col min="11522" max="11522" width="16" style="1" customWidth="1"/>
    <col min="11523" max="11523" width="49.625" style="1" customWidth="1"/>
    <col min="11524" max="11524" width="15.25" style="1" customWidth="1"/>
    <col min="11525" max="11531" width="14.625" style="1" customWidth="1"/>
    <col min="11532" max="11532" width="0" style="1" hidden="1" customWidth="1"/>
    <col min="11533" max="11533" width="7.875" style="1" customWidth="1"/>
    <col min="11534" max="11534" width="17.375" style="1" customWidth="1"/>
    <col min="11535" max="11535" width="14.625" style="1" customWidth="1"/>
    <col min="11536" max="11536" width="8.5" style="1" customWidth="1"/>
    <col min="11537" max="11537" width="11" style="1"/>
    <col min="11538" max="11538" width="10.125" style="1" bestFit="1" customWidth="1"/>
    <col min="11539" max="11777" width="11" style="1"/>
    <col min="11778" max="11778" width="16" style="1" customWidth="1"/>
    <col min="11779" max="11779" width="49.625" style="1" customWidth="1"/>
    <col min="11780" max="11780" width="15.25" style="1" customWidth="1"/>
    <col min="11781" max="11787" width="14.625" style="1" customWidth="1"/>
    <col min="11788" max="11788" width="0" style="1" hidden="1" customWidth="1"/>
    <col min="11789" max="11789" width="7.875" style="1" customWidth="1"/>
    <col min="11790" max="11790" width="17.375" style="1" customWidth="1"/>
    <col min="11791" max="11791" width="14.625" style="1" customWidth="1"/>
    <col min="11792" max="11792" width="8.5" style="1" customWidth="1"/>
    <col min="11793" max="11793" width="11" style="1"/>
    <col min="11794" max="11794" width="10.125" style="1" bestFit="1" customWidth="1"/>
    <col min="11795" max="12033" width="11" style="1"/>
    <col min="12034" max="12034" width="16" style="1" customWidth="1"/>
    <col min="12035" max="12035" width="49.625" style="1" customWidth="1"/>
    <col min="12036" max="12036" width="15.25" style="1" customWidth="1"/>
    <col min="12037" max="12043" width="14.625" style="1" customWidth="1"/>
    <col min="12044" max="12044" width="0" style="1" hidden="1" customWidth="1"/>
    <col min="12045" max="12045" width="7.875" style="1" customWidth="1"/>
    <col min="12046" max="12046" width="17.375" style="1" customWidth="1"/>
    <col min="12047" max="12047" width="14.625" style="1" customWidth="1"/>
    <col min="12048" max="12048" width="8.5" style="1" customWidth="1"/>
    <col min="12049" max="12049" width="11" style="1"/>
    <col min="12050" max="12050" width="10.125" style="1" bestFit="1" customWidth="1"/>
    <col min="12051" max="12289" width="11" style="1"/>
    <col min="12290" max="12290" width="16" style="1" customWidth="1"/>
    <col min="12291" max="12291" width="49.625" style="1" customWidth="1"/>
    <col min="12292" max="12292" width="15.25" style="1" customWidth="1"/>
    <col min="12293" max="12299" width="14.625" style="1" customWidth="1"/>
    <col min="12300" max="12300" width="0" style="1" hidden="1" customWidth="1"/>
    <col min="12301" max="12301" width="7.875" style="1" customWidth="1"/>
    <col min="12302" max="12302" width="17.375" style="1" customWidth="1"/>
    <col min="12303" max="12303" width="14.625" style="1" customWidth="1"/>
    <col min="12304" max="12304" width="8.5" style="1" customWidth="1"/>
    <col min="12305" max="12305" width="11" style="1"/>
    <col min="12306" max="12306" width="10.125" style="1" bestFit="1" customWidth="1"/>
    <col min="12307" max="12545" width="11" style="1"/>
    <col min="12546" max="12546" width="16" style="1" customWidth="1"/>
    <col min="12547" max="12547" width="49.625" style="1" customWidth="1"/>
    <col min="12548" max="12548" width="15.25" style="1" customWidth="1"/>
    <col min="12549" max="12555" width="14.625" style="1" customWidth="1"/>
    <col min="12556" max="12556" width="0" style="1" hidden="1" customWidth="1"/>
    <col min="12557" max="12557" width="7.875" style="1" customWidth="1"/>
    <col min="12558" max="12558" width="17.375" style="1" customWidth="1"/>
    <col min="12559" max="12559" width="14.625" style="1" customWidth="1"/>
    <col min="12560" max="12560" width="8.5" style="1" customWidth="1"/>
    <col min="12561" max="12561" width="11" style="1"/>
    <col min="12562" max="12562" width="10.125" style="1" bestFit="1" customWidth="1"/>
    <col min="12563" max="12801" width="11" style="1"/>
    <col min="12802" max="12802" width="16" style="1" customWidth="1"/>
    <col min="12803" max="12803" width="49.625" style="1" customWidth="1"/>
    <col min="12804" max="12804" width="15.25" style="1" customWidth="1"/>
    <col min="12805" max="12811" width="14.625" style="1" customWidth="1"/>
    <col min="12812" max="12812" width="0" style="1" hidden="1" customWidth="1"/>
    <col min="12813" max="12813" width="7.875" style="1" customWidth="1"/>
    <col min="12814" max="12814" width="17.375" style="1" customWidth="1"/>
    <col min="12815" max="12815" width="14.625" style="1" customWidth="1"/>
    <col min="12816" max="12816" width="8.5" style="1" customWidth="1"/>
    <col min="12817" max="12817" width="11" style="1"/>
    <col min="12818" max="12818" width="10.125" style="1" bestFit="1" customWidth="1"/>
    <col min="12819" max="13057" width="11" style="1"/>
    <col min="13058" max="13058" width="16" style="1" customWidth="1"/>
    <col min="13059" max="13059" width="49.625" style="1" customWidth="1"/>
    <col min="13060" max="13060" width="15.25" style="1" customWidth="1"/>
    <col min="13061" max="13067" width="14.625" style="1" customWidth="1"/>
    <col min="13068" max="13068" width="0" style="1" hidden="1" customWidth="1"/>
    <col min="13069" max="13069" width="7.875" style="1" customWidth="1"/>
    <col min="13070" max="13070" width="17.375" style="1" customWidth="1"/>
    <col min="13071" max="13071" width="14.625" style="1" customWidth="1"/>
    <col min="13072" max="13072" width="8.5" style="1" customWidth="1"/>
    <col min="13073" max="13073" width="11" style="1"/>
    <col min="13074" max="13074" width="10.125" style="1" bestFit="1" customWidth="1"/>
    <col min="13075" max="13313" width="11" style="1"/>
    <col min="13314" max="13314" width="16" style="1" customWidth="1"/>
    <col min="13315" max="13315" width="49.625" style="1" customWidth="1"/>
    <col min="13316" max="13316" width="15.25" style="1" customWidth="1"/>
    <col min="13317" max="13323" width="14.625" style="1" customWidth="1"/>
    <col min="13324" max="13324" width="0" style="1" hidden="1" customWidth="1"/>
    <col min="13325" max="13325" width="7.875" style="1" customWidth="1"/>
    <col min="13326" max="13326" width="17.375" style="1" customWidth="1"/>
    <col min="13327" max="13327" width="14.625" style="1" customWidth="1"/>
    <col min="13328" max="13328" width="8.5" style="1" customWidth="1"/>
    <col min="13329" max="13329" width="11" style="1"/>
    <col min="13330" max="13330" width="10.125" style="1" bestFit="1" customWidth="1"/>
    <col min="13331" max="13569" width="11" style="1"/>
    <col min="13570" max="13570" width="16" style="1" customWidth="1"/>
    <col min="13571" max="13571" width="49.625" style="1" customWidth="1"/>
    <col min="13572" max="13572" width="15.25" style="1" customWidth="1"/>
    <col min="13573" max="13579" width="14.625" style="1" customWidth="1"/>
    <col min="13580" max="13580" width="0" style="1" hidden="1" customWidth="1"/>
    <col min="13581" max="13581" width="7.875" style="1" customWidth="1"/>
    <col min="13582" max="13582" width="17.375" style="1" customWidth="1"/>
    <col min="13583" max="13583" width="14.625" style="1" customWidth="1"/>
    <col min="13584" max="13584" width="8.5" style="1" customWidth="1"/>
    <col min="13585" max="13585" width="11" style="1"/>
    <col min="13586" max="13586" width="10.125" style="1" bestFit="1" customWidth="1"/>
    <col min="13587" max="13825" width="11" style="1"/>
    <col min="13826" max="13826" width="16" style="1" customWidth="1"/>
    <col min="13827" max="13827" width="49.625" style="1" customWidth="1"/>
    <col min="13828" max="13828" width="15.25" style="1" customWidth="1"/>
    <col min="13829" max="13835" width="14.625" style="1" customWidth="1"/>
    <col min="13836" max="13836" width="0" style="1" hidden="1" customWidth="1"/>
    <col min="13837" max="13837" width="7.875" style="1" customWidth="1"/>
    <col min="13838" max="13838" width="17.375" style="1" customWidth="1"/>
    <col min="13839" max="13839" width="14.625" style="1" customWidth="1"/>
    <col min="13840" max="13840" width="8.5" style="1" customWidth="1"/>
    <col min="13841" max="13841" width="11" style="1"/>
    <col min="13842" max="13842" width="10.125" style="1" bestFit="1" customWidth="1"/>
    <col min="13843" max="14081" width="11" style="1"/>
    <col min="14082" max="14082" width="16" style="1" customWidth="1"/>
    <col min="14083" max="14083" width="49.625" style="1" customWidth="1"/>
    <col min="14084" max="14084" width="15.25" style="1" customWidth="1"/>
    <col min="14085" max="14091" width="14.625" style="1" customWidth="1"/>
    <col min="14092" max="14092" width="0" style="1" hidden="1" customWidth="1"/>
    <col min="14093" max="14093" width="7.875" style="1" customWidth="1"/>
    <col min="14094" max="14094" width="17.375" style="1" customWidth="1"/>
    <col min="14095" max="14095" width="14.625" style="1" customWidth="1"/>
    <col min="14096" max="14096" width="8.5" style="1" customWidth="1"/>
    <col min="14097" max="14097" width="11" style="1"/>
    <col min="14098" max="14098" width="10.125" style="1" bestFit="1" customWidth="1"/>
    <col min="14099" max="14337" width="11" style="1"/>
    <col min="14338" max="14338" width="16" style="1" customWidth="1"/>
    <col min="14339" max="14339" width="49.625" style="1" customWidth="1"/>
    <col min="14340" max="14340" width="15.25" style="1" customWidth="1"/>
    <col min="14341" max="14347" width="14.625" style="1" customWidth="1"/>
    <col min="14348" max="14348" width="0" style="1" hidden="1" customWidth="1"/>
    <col min="14349" max="14349" width="7.875" style="1" customWidth="1"/>
    <col min="14350" max="14350" width="17.375" style="1" customWidth="1"/>
    <col min="14351" max="14351" width="14.625" style="1" customWidth="1"/>
    <col min="14352" max="14352" width="8.5" style="1" customWidth="1"/>
    <col min="14353" max="14353" width="11" style="1"/>
    <col min="14354" max="14354" width="10.125" style="1" bestFit="1" customWidth="1"/>
    <col min="14355" max="14593" width="11" style="1"/>
    <col min="14594" max="14594" width="16" style="1" customWidth="1"/>
    <col min="14595" max="14595" width="49.625" style="1" customWidth="1"/>
    <col min="14596" max="14596" width="15.25" style="1" customWidth="1"/>
    <col min="14597" max="14603" width="14.625" style="1" customWidth="1"/>
    <col min="14604" max="14604" width="0" style="1" hidden="1" customWidth="1"/>
    <col min="14605" max="14605" width="7.875" style="1" customWidth="1"/>
    <col min="14606" max="14606" width="17.375" style="1" customWidth="1"/>
    <col min="14607" max="14607" width="14.625" style="1" customWidth="1"/>
    <col min="14608" max="14608" width="8.5" style="1" customWidth="1"/>
    <col min="14609" max="14609" width="11" style="1"/>
    <col min="14610" max="14610" width="10.125" style="1" bestFit="1" customWidth="1"/>
    <col min="14611" max="14849" width="11" style="1"/>
    <col min="14850" max="14850" width="16" style="1" customWidth="1"/>
    <col min="14851" max="14851" width="49.625" style="1" customWidth="1"/>
    <col min="14852" max="14852" width="15.25" style="1" customWidth="1"/>
    <col min="14853" max="14859" width="14.625" style="1" customWidth="1"/>
    <col min="14860" max="14860" width="0" style="1" hidden="1" customWidth="1"/>
    <col min="14861" max="14861" width="7.875" style="1" customWidth="1"/>
    <col min="14862" max="14862" width="17.375" style="1" customWidth="1"/>
    <col min="14863" max="14863" width="14.625" style="1" customWidth="1"/>
    <col min="14864" max="14864" width="8.5" style="1" customWidth="1"/>
    <col min="14865" max="14865" width="11" style="1"/>
    <col min="14866" max="14866" width="10.125" style="1" bestFit="1" customWidth="1"/>
    <col min="14867" max="15105" width="11" style="1"/>
    <col min="15106" max="15106" width="16" style="1" customWidth="1"/>
    <col min="15107" max="15107" width="49.625" style="1" customWidth="1"/>
    <col min="15108" max="15108" width="15.25" style="1" customWidth="1"/>
    <col min="15109" max="15115" width="14.625" style="1" customWidth="1"/>
    <col min="15116" max="15116" width="0" style="1" hidden="1" customWidth="1"/>
    <col min="15117" max="15117" width="7.875" style="1" customWidth="1"/>
    <col min="15118" max="15118" width="17.375" style="1" customWidth="1"/>
    <col min="15119" max="15119" width="14.625" style="1" customWidth="1"/>
    <col min="15120" max="15120" width="8.5" style="1" customWidth="1"/>
    <col min="15121" max="15121" width="11" style="1"/>
    <col min="15122" max="15122" width="10.125" style="1" bestFit="1" customWidth="1"/>
    <col min="15123" max="15361" width="11" style="1"/>
    <col min="15362" max="15362" width="16" style="1" customWidth="1"/>
    <col min="15363" max="15363" width="49.625" style="1" customWidth="1"/>
    <col min="15364" max="15364" width="15.25" style="1" customWidth="1"/>
    <col min="15365" max="15371" width="14.625" style="1" customWidth="1"/>
    <col min="15372" max="15372" width="0" style="1" hidden="1" customWidth="1"/>
    <col min="15373" max="15373" width="7.875" style="1" customWidth="1"/>
    <col min="15374" max="15374" width="17.375" style="1" customWidth="1"/>
    <col min="15375" max="15375" width="14.625" style="1" customWidth="1"/>
    <col min="15376" max="15376" width="8.5" style="1" customWidth="1"/>
    <col min="15377" max="15377" width="11" style="1"/>
    <col min="15378" max="15378" width="10.125" style="1" bestFit="1" customWidth="1"/>
    <col min="15379" max="15617" width="11" style="1"/>
    <col min="15618" max="15618" width="16" style="1" customWidth="1"/>
    <col min="15619" max="15619" width="49.625" style="1" customWidth="1"/>
    <col min="15620" max="15620" width="15.25" style="1" customWidth="1"/>
    <col min="15621" max="15627" width="14.625" style="1" customWidth="1"/>
    <col min="15628" max="15628" width="0" style="1" hidden="1" customWidth="1"/>
    <col min="15629" max="15629" width="7.875" style="1" customWidth="1"/>
    <col min="15630" max="15630" width="17.375" style="1" customWidth="1"/>
    <col min="15631" max="15631" width="14.625" style="1" customWidth="1"/>
    <col min="15632" max="15632" width="8.5" style="1" customWidth="1"/>
    <col min="15633" max="15633" width="11" style="1"/>
    <col min="15634" max="15634" width="10.125" style="1" bestFit="1" customWidth="1"/>
    <col min="15635" max="15873" width="11" style="1"/>
    <col min="15874" max="15874" width="16" style="1" customWidth="1"/>
    <col min="15875" max="15875" width="49.625" style="1" customWidth="1"/>
    <col min="15876" max="15876" width="15.25" style="1" customWidth="1"/>
    <col min="15877" max="15883" width="14.625" style="1" customWidth="1"/>
    <col min="15884" max="15884" width="0" style="1" hidden="1" customWidth="1"/>
    <col min="15885" max="15885" width="7.875" style="1" customWidth="1"/>
    <col min="15886" max="15886" width="17.375" style="1" customWidth="1"/>
    <col min="15887" max="15887" width="14.625" style="1" customWidth="1"/>
    <col min="15888" max="15888" width="8.5" style="1" customWidth="1"/>
    <col min="15889" max="15889" width="11" style="1"/>
    <col min="15890" max="15890" width="10.125" style="1" bestFit="1" customWidth="1"/>
    <col min="15891" max="16129" width="11" style="1"/>
    <col min="16130" max="16130" width="16" style="1" customWidth="1"/>
    <col min="16131" max="16131" width="49.625" style="1" customWidth="1"/>
    <col min="16132" max="16132" width="15.25" style="1" customWidth="1"/>
    <col min="16133" max="16139" width="14.625" style="1" customWidth="1"/>
    <col min="16140" max="16140" width="0" style="1" hidden="1" customWidth="1"/>
    <col min="16141" max="16141" width="7.875" style="1" customWidth="1"/>
    <col min="16142" max="16142" width="17.375" style="1" customWidth="1"/>
    <col min="16143" max="16143" width="14.625" style="1" customWidth="1"/>
    <col min="16144" max="16144" width="8.5" style="1" customWidth="1"/>
    <col min="16145" max="16145" width="11" style="1"/>
    <col min="16146" max="16146" width="10.125" style="1" bestFit="1" customWidth="1"/>
    <col min="16147" max="16384" width="11" style="1"/>
  </cols>
  <sheetData>
    <row r="1" spans="1:16" ht="18" x14ac:dyDescent="0.2">
      <c r="A1" s="195" t="s">
        <v>0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</row>
    <row r="2" spans="1:16" ht="18" x14ac:dyDescent="0.25">
      <c r="A2" s="196" t="s">
        <v>1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</row>
    <row r="3" spans="1:16" ht="18" x14ac:dyDescent="0.25">
      <c r="A3" s="196" t="s">
        <v>134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</row>
    <row r="4" spans="1:16" ht="18.75" thickBot="1" x14ac:dyDescent="0.3">
      <c r="A4" s="2"/>
      <c r="B4" s="4"/>
      <c r="C4" s="4"/>
      <c r="D4" s="4"/>
      <c r="E4" s="4"/>
      <c r="F4" s="6"/>
      <c r="G4" s="6"/>
      <c r="H4" s="4"/>
      <c r="I4" s="4"/>
      <c r="J4" s="4"/>
      <c r="K4" s="4"/>
      <c r="L4" s="4"/>
      <c r="M4" s="4"/>
      <c r="N4" s="5"/>
      <c r="O4" s="4"/>
      <c r="P4" s="3"/>
    </row>
    <row r="5" spans="1:16" ht="23.25" customHeight="1" x14ac:dyDescent="0.25">
      <c r="A5" s="47" t="s">
        <v>3</v>
      </c>
      <c r="B5" s="48" t="s">
        <v>4</v>
      </c>
      <c r="C5" s="49" t="s">
        <v>5</v>
      </c>
      <c r="D5" s="197" t="s">
        <v>131</v>
      </c>
      <c r="E5" s="184"/>
      <c r="F5" s="51" t="s">
        <v>7</v>
      </c>
      <c r="G5" s="51" t="s">
        <v>8</v>
      </c>
      <c r="H5" s="49" t="s">
        <v>9</v>
      </c>
      <c r="I5" s="50" t="s">
        <v>10</v>
      </c>
      <c r="J5" s="51" t="s">
        <v>12</v>
      </c>
      <c r="K5" s="49" t="s">
        <v>12</v>
      </c>
      <c r="L5" s="49" t="s">
        <v>13</v>
      </c>
      <c r="M5" s="199" t="s">
        <v>14</v>
      </c>
      <c r="N5" s="52" t="s">
        <v>10</v>
      </c>
      <c r="O5" s="49" t="s">
        <v>15</v>
      </c>
      <c r="P5" s="53" t="s">
        <v>14</v>
      </c>
    </row>
    <row r="6" spans="1:16" ht="23.25" customHeight="1" thickBot="1" x14ac:dyDescent="0.3">
      <c r="A6" s="54"/>
      <c r="B6" s="55"/>
      <c r="C6" s="56" t="s">
        <v>16</v>
      </c>
      <c r="D6" s="198"/>
      <c r="E6" s="185" t="s">
        <v>133</v>
      </c>
      <c r="F6" s="58"/>
      <c r="G6" s="58"/>
      <c r="H6" s="56" t="s">
        <v>8</v>
      </c>
      <c r="I6" s="57" t="s">
        <v>5</v>
      </c>
      <c r="J6" s="59" t="s">
        <v>17</v>
      </c>
      <c r="K6" s="56" t="s">
        <v>18</v>
      </c>
      <c r="L6" s="56" t="s">
        <v>19</v>
      </c>
      <c r="M6" s="200"/>
      <c r="N6" s="60" t="s">
        <v>19</v>
      </c>
      <c r="O6" s="56" t="s">
        <v>20</v>
      </c>
      <c r="P6" s="61"/>
    </row>
    <row r="7" spans="1:16" ht="15" x14ac:dyDescent="0.25">
      <c r="A7" s="7"/>
      <c r="B7" s="8"/>
      <c r="C7" s="9"/>
      <c r="D7" s="9"/>
      <c r="E7" s="9"/>
      <c r="F7" s="10"/>
      <c r="G7" s="10"/>
      <c r="H7" s="9"/>
      <c r="I7" s="9"/>
      <c r="J7" s="11"/>
      <c r="K7" s="9"/>
      <c r="L7" s="9"/>
      <c r="M7" s="9"/>
      <c r="N7" s="12"/>
      <c r="O7" s="13"/>
      <c r="P7" s="14"/>
    </row>
    <row r="8" spans="1:16" s="77" customFormat="1" ht="27.75" customHeight="1" x14ac:dyDescent="0.2">
      <c r="A8" s="65" t="s">
        <v>21</v>
      </c>
      <c r="B8" s="76" t="s">
        <v>22</v>
      </c>
      <c r="C8" s="68">
        <f t="shared" ref="C8:I8" si="0">SUM(C9:C18)</f>
        <v>647432879</v>
      </c>
      <c r="D8" s="68">
        <f t="shared" si="0"/>
        <v>0</v>
      </c>
      <c r="E8" s="68"/>
      <c r="F8" s="68">
        <f t="shared" si="0"/>
        <v>1272904</v>
      </c>
      <c r="G8" s="68">
        <f t="shared" si="0"/>
        <v>8256047</v>
      </c>
      <c r="H8" s="68">
        <f t="shared" si="0"/>
        <v>47514444</v>
      </c>
      <c r="I8" s="68">
        <f t="shared" si="0"/>
        <v>609447386</v>
      </c>
      <c r="J8" s="68">
        <f>J9+J10+J11+J12+J13+J14+J16+J17+J18</f>
        <v>458235491.97776085</v>
      </c>
      <c r="K8" s="68">
        <f>SUM(K9:K18)</f>
        <v>43210298</v>
      </c>
      <c r="L8" s="68">
        <f>SUM(L9:L18)</f>
        <v>501737296.97776085</v>
      </c>
      <c r="M8" s="69">
        <f t="shared" ref="M8:M71" si="1">L8/I8</f>
        <v>0.82326597587172334</v>
      </c>
      <c r="N8" s="70">
        <f>J8+K8</f>
        <v>501445789.97776085</v>
      </c>
      <c r="O8" s="68">
        <f>SUM(O9:O18)</f>
        <v>107710089.02223913</v>
      </c>
      <c r="P8" s="71">
        <f t="shared" ref="P8:P39" si="2">O8/I8</f>
        <v>0.17673402412827666</v>
      </c>
    </row>
    <row r="9" spans="1:16" ht="15" x14ac:dyDescent="0.25">
      <c r="A9" s="19" t="s">
        <v>23</v>
      </c>
      <c r="B9" s="20" t="s">
        <v>24</v>
      </c>
      <c r="C9" s="21">
        <v>491332879</v>
      </c>
      <c r="D9" s="22"/>
      <c r="E9" s="22"/>
      <c r="F9" s="23"/>
      <c r="G9" s="36"/>
      <c r="H9" s="62">
        <f>18900000+5000000</f>
        <v>23900000</v>
      </c>
      <c r="I9" s="21">
        <f>C9-D9+F9+G9-H9</f>
        <v>467432879</v>
      </c>
      <c r="J9" s="22">
        <f>OCTUBRE!I9+OCTUBRE!J9</f>
        <v>393298950</v>
      </c>
      <c r="K9" s="43">
        <v>39390167</v>
      </c>
      <c r="L9" s="21">
        <f>SUM(J9:K9)</f>
        <v>432689117</v>
      </c>
      <c r="M9" s="16">
        <f t="shared" si="1"/>
        <v>0.92567112079422209</v>
      </c>
      <c r="N9" s="25">
        <f t="shared" ref="N9:N70" si="3">K9+J9</f>
        <v>432689117</v>
      </c>
      <c r="O9" s="26">
        <f t="shared" ref="O9:O18" si="4">I9-L9</f>
        <v>34743762</v>
      </c>
      <c r="P9" s="18">
        <f t="shared" si="2"/>
        <v>7.4328879205777909E-2</v>
      </c>
    </row>
    <row r="10" spans="1:16" ht="15" x14ac:dyDescent="0.25">
      <c r="A10" s="19" t="s">
        <v>25</v>
      </c>
      <c r="B10" s="20" t="s">
        <v>26</v>
      </c>
      <c r="C10" s="21">
        <v>0</v>
      </c>
      <c r="D10" s="22"/>
      <c r="E10" s="22"/>
      <c r="F10" s="23"/>
      <c r="G10" s="36"/>
      <c r="H10" s="63"/>
      <c r="I10" s="21">
        <f t="shared" ref="I10:I23" si="5">C10-D10+F10+G10-H10</f>
        <v>0</v>
      </c>
      <c r="J10" s="22">
        <f>OCTUBRE!I10+OCTUBRE!J10</f>
        <v>0</v>
      </c>
      <c r="K10" s="22">
        <v>0</v>
      </c>
      <c r="L10" s="21">
        <f t="shared" ref="L10:L23" si="6">SUM(J10:K10)</f>
        <v>0</v>
      </c>
      <c r="M10" s="16">
        <v>0</v>
      </c>
      <c r="N10" s="25">
        <f t="shared" si="3"/>
        <v>0</v>
      </c>
      <c r="O10" s="26">
        <f t="shared" si="4"/>
        <v>0</v>
      </c>
      <c r="P10" s="18">
        <v>0</v>
      </c>
    </row>
    <row r="11" spans="1:16" ht="15" x14ac:dyDescent="0.25">
      <c r="A11" s="19" t="s">
        <v>27</v>
      </c>
      <c r="B11" s="20" t="s">
        <v>28</v>
      </c>
      <c r="C11" s="21">
        <v>2300000</v>
      </c>
      <c r="D11" s="22"/>
      <c r="E11" s="22"/>
      <c r="F11" s="23"/>
      <c r="G11" s="36"/>
      <c r="H11" s="63">
        <v>1200000</v>
      </c>
      <c r="I11" s="21">
        <f t="shared" si="5"/>
        <v>1100000</v>
      </c>
      <c r="J11" s="22">
        <f>OCTUBRE!I11+OCTUBRE!J11</f>
        <v>831400</v>
      </c>
      <c r="K11" s="22">
        <v>83140</v>
      </c>
      <c r="L11" s="21">
        <f t="shared" si="6"/>
        <v>914540</v>
      </c>
      <c r="M11" s="16">
        <f t="shared" si="1"/>
        <v>0.83140000000000003</v>
      </c>
      <c r="N11" s="25">
        <f t="shared" si="3"/>
        <v>914540</v>
      </c>
      <c r="O11" s="26">
        <f t="shared" si="4"/>
        <v>185460</v>
      </c>
      <c r="P11" s="18">
        <f t="shared" si="2"/>
        <v>0.1686</v>
      </c>
    </row>
    <row r="12" spans="1:16" ht="15.75" customHeight="1" x14ac:dyDescent="0.25">
      <c r="A12" s="19" t="s">
        <v>29</v>
      </c>
      <c r="B12" s="20" t="s">
        <v>30</v>
      </c>
      <c r="C12" s="21">
        <v>1800000</v>
      </c>
      <c r="D12" s="22"/>
      <c r="E12" s="22"/>
      <c r="F12" s="23"/>
      <c r="G12" s="36"/>
      <c r="H12" s="63">
        <v>400000</v>
      </c>
      <c r="I12" s="21">
        <f t="shared" si="5"/>
        <v>1400000</v>
      </c>
      <c r="J12" s="22">
        <f>OCTUBRE!I12+OCTUBRE!J12</f>
        <v>1145100</v>
      </c>
      <c r="K12" s="22">
        <v>114510</v>
      </c>
      <c r="L12" s="21">
        <f t="shared" si="6"/>
        <v>1259610</v>
      </c>
      <c r="M12" s="16">
        <f t="shared" si="1"/>
        <v>0.89972142857142856</v>
      </c>
      <c r="N12" s="25">
        <f t="shared" si="3"/>
        <v>1259610</v>
      </c>
      <c r="O12" s="26">
        <f t="shared" si="4"/>
        <v>140390</v>
      </c>
      <c r="P12" s="18">
        <f t="shared" si="2"/>
        <v>0.10027857142857143</v>
      </c>
    </row>
    <row r="13" spans="1:16" ht="15" x14ac:dyDescent="0.25">
      <c r="A13" s="19" t="s">
        <v>31</v>
      </c>
      <c r="B13" s="20" t="s">
        <v>32</v>
      </c>
      <c r="C13" s="21">
        <v>15000000</v>
      </c>
      <c r="D13" s="22"/>
      <c r="E13" s="22"/>
      <c r="F13" s="23"/>
      <c r="G13" s="36">
        <v>1395140</v>
      </c>
      <c r="H13" s="63"/>
      <c r="I13" s="21">
        <f t="shared" si="5"/>
        <v>16395140</v>
      </c>
      <c r="J13" s="22">
        <f>OCTUBRE!I13+OCTUBRE!J13</f>
        <v>12772659</v>
      </c>
      <c r="K13" s="43">
        <v>3622481</v>
      </c>
      <c r="L13" s="21">
        <f t="shared" si="6"/>
        <v>16395140</v>
      </c>
      <c r="M13" s="16">
        <f t="shared" si="1"/>
        <v>1</v>
      </c>
      <c r="N13" s="25">
        <f t="shared" si="3"/>
        <v>16395140</v>
      </c>
      <c r="O13" s="26">
        <f t="shared" si="4"/>
        <v>0</v>
      </c>
      <c r="P13" s="18">
        <f t="shared" si="2"/>
        <v>0</v>
      </c>
    </row>
    <row r="14" spans="1:16" ht="15" x14ac:dyDescent="0.25">
      <c r="A14" s="19" t="s">
        <v>33</v>
      </c>
      <c r="B14" s="20" t="s">
        <v>34</v>
      </c>
      <c r="C14" s="21">
        <v>22000000</v>
      </c>
      <c r="D14" s="22"/>
      <c r="E14" s="22"/>
      <c r="F14" s="23"/>
      <c r="G14" s="36"/>
      <c r="H14" s="63"/>
      <c r="I14" s="21">
        <f t="shared" si="5"/>
        <v>22000000</v>
      </c>
      <c r="J14" s="22">
        <f>OCTUBRE!I14+OCTUBRE!J14</f>
        <v>22000000</v>
      </c>
      <c r="K14" s="44">
        <v>0</v>
      </c>
      <c r="L14" s="21">
        <f t="shared" si="6"/>
        <v>22000000</v>
      </c>
      <c r="M14" s="16">
        <f t="shared" si="1"/>
        <v>1</v>
      </c>
      <c r="N14" s="25">
        <f t="shared" si="3"/>
        <v>22000000</v>
      </c>
      <c r="O14" s="26">
        <f t="shared" si="4"/>
        <v>0</v>
      </c>
      <c r="P14" s="18">
        <f t="shared" si="2"/>
        <v>0</v>
      </c>
    </row>
    <row r="15" spans="1:16" ht="15" x14ac:dyDescent="0.25">
      <c r="A15" s="19">
        <v>45</v>
      </c>
      <c r="B15" s="20" t="s">
        <v>34</v>
      </c>
      <c r="C15" s="21">
        <v>0</v>
      </c>
      <c r="D15" s="22"/>
      <c r="E15" s="22"/>
      <c r="F15" s="23"/>
      <c r="G15" s="36">
        <v>291507</v>
      </c>
      <c r="H15" s="63"/>
      <c r="I15" s="21">
        <f t="shared" si="5"/>
        <v>291507</v>
      </c>
      <c r="J15" s="22">
        <f>OCTUBRE!I15+OCTUBRE!J15</f>
        <v>291507</v>
      </c>
      <c r="K15" s="44">
        <v>0</v>
      </c>
      <c r="L15" s="21">
        <f t="shared" si="6"/>
        <v>291507</v>
      </c>
      <c r="M15" s="16">
        <f t="shared" si="1"/>
        <v>1</v>
      </c>
      <c r="N15" s="25">
        <f t="shared" si="3"/>
        <v>291507</v>
      </c>
      <c r="O15" s="26">
        <f t="shared" si="4"/>
        <v>0</v>
      </c>
      <c r="P15" s="18">
        <f t="shared" si="2"/>
        <v>0</v>
      </c>
    </row>
    <row r="16" spans="1:16" ht="15" x14ac:dyDescent="0.25">
      <c r="A16" s="19" t="s">
        <v>35</v>
      </c>
      <c r="B16" s="20" t="s">
        <v>36</v>
      </c>
      <c r="C16" s="21">
        <v>33000000</v>
      </c>
      <c r="D16" s="22"/>
      <c r="E16" s="22"/>
      <c r="F16" s="23"/>
      <c r="G16" s="36"/>
      <c r="H16" s="63">
        <f>5000000+8106294</f>
        <v>13106294</v>
      </c>
      <c r="I16" s="21">
        <f t="shared" si="5"/>
        <v>19893706</v>
      </c>
      <c r="J16" s="22">
        <f>OCTUBRE!I16+OCTUBRE!J16</f>
        <v>10129524</v>
      </c>
      <c r="K16" s="43">
        <v>0</v>
      </c>
      <c r="L16" s="21">
        <f t="shared" si="6"/>
        <v>10129524</v>
      </c>
      <c r="M16" s="16">
        <f t="shared" si="1"/>
        <v>0.50918235144321522</v>
      </c>
      <c r="N16" s="25">
        <f t="shared" si="3"/>
        <v>10129524</v>
      </c>
      <c r="O16" s="26">
        <f t="shared" si="4"/>
        <v>9764182</v>
      </c>
      <c r="P16" s="18">
        <f t="shared" si="2"/>
        <v>0.49081764855678472</v>
      </c>
    </row>
    <row r="17" spans="1:16" ht="15" x14ac:dyDescent="0.25">
      <c r="A17" s="28">
        <v>2020110109</v>
      </c>
      <c r="B17" s="20" t="s">
        <v>37</v>
      </c>
      <c r="C17" s="21">
        <v>44000000</v>
      </c>
      <c r="D17" s="22"/>
      <c r="E17" s="22"/>
      <c r="F17" s="23">
        <v>1272904</v>
      </c>
      <c r="G17" s="36"/>
      <c r="H17" s="63">
        <v>8908150</v>
      </c>
      <c r="I17" s="21">
        <f t="shared" si="5"/>
        <v>36364754</v>
      </c>
      <c r="J17" s="22">
        <f>OCTUBRE!I17+OCTUBRE!J17</f>
        <v>17702932.977760866</v>
      </c>
      <c r="K17" s="43">
        <v>0</v>
      </c>
      <c r="L17" s="21">
        <f t="shared" si="6"/>
        <v>17702932.977760866</v>
      </c>
      <c r="M17" s="16">
        <f t="shared" si="1"/>
        <v>0.48681569460805002</v>
      </c>
      <c r="N17" s="25">
        <f t="shared" si="3"/>
        <v>17702932.977760866</v>
      </c>
      <c r="O17" s="26">
        <f t="shared" si="4"/>
        <v>18661821.022239134</v>
      </c>
      <c r="P17" s="18">
        <f t="shared" si="2"/>
        <v>0.51318430539194992</v>
      </c>
    </row>
    <row r="18" spans="1:16" ht="15" x14ac:dyDescent="0.25">
      <c r="A18" s="28">
        <v>2020110108</v>
      </c>
      <c r="B18" s="20" t="s">
        <v>38</v>
      </c>
      <c r="C18" s="21">
        <v>38000000</v>
      </c>
      <c r="D18" s="22"/>
      <c r="E18" s="22"/>
      <c r="F18" s="23"/>
      <c r="G18" s="36">
        <v>6569400</v>
      </c>
      <c r="H18" s="63"/>
      <c r="I18" s="21">
        <f t="shared" si="5"/>
        <v>44569400</v>
      </c>
      <c r="J18" s="22">
        <f>OCTUBRE!I18+OCTUBRE!J18</f>
        <v>354926</v>
      </c>
      <c r="K18" s="43">
        <v>0</v>
      </c>
      <c r="L18" s="21">
        <f t="shared" si="6"/>
        <v>354926</v>
      </c>
      <c r="M18" s="16">
        <f t="shared" si="1"/>
        <v>7.963445772211428E-3</v>
      </c>
      <c r="N18" s="25">
        <f t="shared" si="3"/>
        <v>354926</v>
      </c>
      <c r="O18" s="26">
        <f t="shared" si="4"/>
        <v>44214474</v>
      </c>
      <c r="P18" s="18">
        <f t="shared" si="2"/>
        <v>0.99203655422778858</v>
      </c>
    </row>
    <row r="19" spans="1:16" s="72" customFormat="1" ht="27.75" customHeight="1" x14ac:dyDescent="0.2">
      <c r="A19" s="65" t="s">
        <v>39</v>
      </c>
      <c r="B19" s="76" t="s">
        <v>40</v>
      </c>
      <c r="C19" s="68">
        <f t="shared" ref="C19:H19" si="7">SUM(C20:C23)</f>
        <v>20000000</v>
      </c>
      <c r="D19" s="68">
        <f t="shared" si="7"/>
        <v>0</v>
      </c>
      <c r="E19" s="68"/>
      <c r="F19" s="68">
        <f t="shared" si="7"/>
        <v>9000000</v>
      </c>
      <c r="G19" s="68">
        <f t="shared" si="7"/>
        <v>28400000</v>
      </c>
      <c r="H19" s="68">
        <f t="shared" si="7"/>
        <v>0</v>
      </c>
      <c r="I19" s="68">
        <f>SUM(I20:I23)</f>
        <v>57400000</v>
      </c>
      <c r="J19" s="68">
        <f>SUM(J20:J23)</f>
        <v>38900000</v>
      </c>
      <c r="K19" s="68">
        <f>K20+K22+K23+K21</f>
        <v>10000000</v>
      </c>
      <c r="L19" s="68">
        <f>SUM(L20:L23)</f>
        <v>48900000</v>
      </c>
      <c r="M19" s="69">
        <f t="shared" si="1"/>
        <v>0.8519163763066202</v>
      </c>
      <c r="N19" s="75">
        <f t="shared" si="3"/>
        <v>48900000</v>
      </c>
      <c r="O19" s="75">
        <f>SUM(O20:O23)</f>
        <v>8500000</v>
      </c>
      <c r="P19" s="71">
        <f t="shared" si="2"/>
        <v>0.1480836236933798</v>
      </c>
    </row>
    <row r="20" spans="1:16" ht="15" x14ac:dyDescent="0.25">
      <c r="A20" s="19" t="s">
        <v>41</v>
      </c>
      <c r="B20" s="30" t="s">
        <v>42</v>
      </c>
      <c r="C20" s="31">
        <v>20000000</v>
      </c>
      <c r="D20" s="22"/>
      <c r="E20" s="22"/>
      <c r="F20" s="23"/>
      <c r="G20" s="36">
        <v>13000000</v>
      </c>
      <c r="H20" s="63"/>
      <c r="I20" s="21">
        <f t="shared" si="5"/>
        <v>33000000</v>
      </c>
      <c r="J20" s="22">
        <f>OCTUBRE!I20+OCTUBRE!J20</f>
        <v>20000000</v>
      </c>
      <c r="K20" s="22">
        <v>4500000</v>
      </c>
      <c r="L20" s="21">
        <f t="shared" si="6"/>
        <v>24500000</v>
      </c>
      <c r="M20" s="16">
        <f t="shared" si="1"/>
        <v>0.74242424242424243</v>
      </c>
      <c r="N20" s="25">
        <f t="shared" si="3"/>
        <v>24500000</v>
      </c>
      <c r="O20" s="26">
        <f>I20-L20</f>
        <v>8500000</v>
      </c>
      <c r="P20" s="18">
        <f>O20/I20</f>
        <v>0.25757575757575757</v>
      </c>
    </row>
    <row r="21" spans="1:16" ht="15" x14ac:dyDescent="0.25">
      <c r="A21" s="19">
        <v>45</v>
      </c>
      <c r="B21" s="30" t="s">
        <v>42</v>
      </c>
      <c r="C21" s="31"/>
      <c r="D21" s="22"/>
      <c r="E21" s="22"/>
      <c r="F21" s="23">
        <v>9000000</v>
      </c>
      <c r="G21" s="36">
        <v>15400000</v>
      </c>
      <c r="H21" s="63"/>
      <c r="I21" s="21">
        <f t="shared" si="5"/>
        <v>24400000</v>
      </c>
      <c r="J21" s="22">
        <f>OCTUBRE!I21+OCTUBRE!J21</f>
        <v>18900000</v>
      </c>
      <c r="K21" s="22">
        <v>5500000</v>
      </c>
      <c r="L21" s="21">
        <f t="shared" si="6"/>
        <v>24400000</v>
      </c>
      <c r="M21" s="16">
        <f t="shared" si="1"/>
        <v>1</v>
      </c>
      <c r="N21" s="25">
        <f t="shared" si="3"/>
        <v>24400000</v>
      </c>
      <c r="O21" s="26">
        <f>I21-L21</f>
        <v>0</v>
      </c>
      <c r="P21" s="18">
        <f>O21/I21</f>
        <v>0</v>
      </c>
    </row>
    <row r="22" spans="1:16" ht="15" x14ac:dyDescent="0.25">
      <c r="A22" s="19" t="s">
        <v>43</v>
      </c>
      <c r="B22" s="20" t="s">
        <v>44</v>
      </c>
      <c r="C22" s="32">
        <v>0</v>
      </c>
      <c r="D22" s="22"/>
      <c r="E22" s="22"/>
      <c r="F22" s="23"/>
      <c r="G22" s="36"/>
      <c r="H22" s="63"/>
      <c r="I22" s="21">
        <f t="shared" si="5"/>
        <v>0</v>
      </c>
      <c r="J22" s="22">
        <f>OCTUBRE!I22+OCTUBRE!J22</f>
        <v>0</v>
      </c>
      <c r="K22" s="22">
        <v>0</v>
      </c>
      <c r="L22" s="21">
        <f t="shared" si="6"/>
        <v>0</v>
      </c>
      <c r="M22" s="16">
        <v>0</v>
      </c>
      <c r="N22" s="25">
        <f t="shared" si="3"/>
        <v>0</v>
      </c>
      <c r="O22" s="26">
        <f>I22-L22</f>
        <v>0</v>
      </c>
      <c r="P22" s="18">
        <v>0</v>
      </c>
    </row>
    <row r="23" spans="1:16" ht="15" x14ac:dyDescent="0.25">
      <c r="A23" s="19" t="s">
        <v>45</v>
      </c>
      <c r="B23" s="33" t="s">
        <v>46</v>
      </c>
      <c r="C23" s="31">
        <v>0</v>
      </c>
      <c r="D23" s="22"/>
      <c r="E23" s="22"/>
      <c r="F23" s="23"/>
      <c r="G23" s="36"/>
      <c r="H23" s="63"/>
      <c r="I23" s="21">
        <f t="shared" si="5"/>
        <v>0</v>
      </c>
      <c r="J23" s="22">
        <f>OCTUBRE!I23+OCTUBRE!J23</f>
        <v>0</v>
      </c>
      <c r="K23" s="27">
        <v>0</v>
      </c>
      <c r="L23" s="21">
        <f t="shared" si="6"/>
        <v>0</v>
      </c>
      <c r="M23" s="16">
        <v>0</v>
      </c>
      <c r="N23" s="25">
        <f t="shared" si="3"/>
        <v>0</v>
      </c>
      <c r="O23" s="26">
        <f>I23-L23</f>
        <v>0</v>
      </c>
      <c r="P23" s="18">
        <v>0</v>
      </c>
    </row>
    <row r="24" spans="1:16" s="72" customFormat="1" ht="27.75" customHeight="1" x14ac:dyDescent="0.2">
      <c r="A24" s="65" t="s">
        <v>47</v>
      </c>
      <c r="B24" s="66" t="s">
        <v>48</v>
      </c>
      <c r="C24" s="68">
        <f t="shared" ref="C24:H24" si="8">SUM(C25:C31)</f>
        <v>26200000</v>
      </c>
      <c r="D24" s="68">
        <f t="shared" si="8"/>
        <v>0</v>
      </c>
      <c r="E24" s="68"/>
      <c r="F24" s="68">
        <f t="shared" si="8"/>
        <v>27113790</v>
      </c>
      <c r="G24" s="68">
        <f t="shared" si="8"/>
        <v>3800000</v>
      </c>
      <c r="H24" s="68">
        <f t="shared" si="8"/>
        <v>15884952</v>
      </c>
      <c r="I24" s="68">
        <f>SUM(I25:I31)</f>
        <v>41228838</v>
      </c>
      <c r="J24" s="68">
        <f t="shared" ref="J24:K24" si="9">SUM(J25:J31)</f>
        <v>34573303</v>
      </c>
      <c r="K24" s="68">
        <f t="shared" si="9"/>
        <v>0</v>
      </c>
      <c r="L24" s="68">
        <f>SUM(L25:L31)</f>
        <v>34573303</v>
      </c>
      <c r="M24" s="69">
        <f t="shared" si="1"/>
        <v>0.83857088089652199</v>
      </c>
      <c r="N24" s="75">
        <f t="shared" si="3"/>
        <v>34573303</v>
      </c>
      <c r="O24" s="68">
        <f t="shared" ref="O24" si="10">SUM(O25:O31)</f>
        <v>6655535</v>
      </c>
      <c r="P24" s="71">
        <f t="shared" si="2"/>
        <v>0.16142911910347801</v>
      </c>
    </row>
    <row r="25" spans="1:16" ht="15" x14ac:dyDescent="0.25">
      <c r="A25" s="19" t="s">
        <v>49</v>
      </c>
      <c r="B25" s="33" t="s">
        <v>50</v>
      </c>
      <c r="C25" s="31">
        <v>0</v>
      </c>
      <c r="D25" s="22"/>
      <c r="E25" s="22"/>
      <c r="F25" s="23">
        <v>2113790</v>
      </c>
      <c r="G25" s="36">
        <v>2000000</v>
      </c>
      <c r="H25" s="63"/>
      <c r="I25" s="21">
        <f t="shared" ref="I25:I31" si="11">C25-D25+F25+G25-H25</f>
        <v>4113790</v>
      </c>
      <c r="J25" s="22">
        <f>OCTUBRE!I25+OCTUBRE!J25</f>
        <v>1585000</v>
      </c>
      <c r="K25" s="27">
        <v>0</v>
      </c>
      <c r="L25" s="21">
        <f t="shared" ref="L25:L67" si="12">SUM(J25:K25)</f>
        <v>1585000</v>
      </c>
      <c r="M25" s="16">
        <v>0</v>
      </c>
      <c r="N25" s="17">
        <f t="shared" si="3"/>
        <v>1585000</v>
      </c>
      <c r="O25" s="26">
        <f t="shared" ref="O25:O31" si="13">I25-L25</f>
        <v>2528790</v>
      </c>
      <c r="P25" s="18">
        <v>0</v>
      </c>
    </row>
    <row r="26" spans="1:16" ht="15" x14ac:dyDescent="0.25">
      <c r="A26" s="19">
        <v>45</v>
      </c>
      <c r="B26" s="33" t="s">
        <v>50</v>
      </c>
      <c r="C26" s="31">
        <v>0</v>
      </c>
      <c r="D26" s="22"/>
      <c r="E26" s="22"/>
      <c r="F26" s="23"/>
      <c r="G26" s="36">
        <v>1000000</v>
      </c>
      <c r="H26" s="63"/>
      <c r="I26" s="21">
        <f t="shared" si="11"/>
        <v>1000000</v>
      </c>
      <c r="J26" s="22">
        <f>OCTUBRE!I26+OCTUBRE!J26</f>
        <v>0</v>
      </c>
      <c r="K26" s="27">
        <v>0</v>
      </c>
      <c r="L26" s="21"/>
      <c r="M26" s="16">
        <v>0</v>
      </c>
      <c r="N26" s="17">
        <f t="shared" si="3"/>
        <v>0</v>
      </c>
      <c r="O26" s="26">
        <f t="shared" si="13"/>
        <v>1000000</v>
      </c>
      <c r="P26" s="18">
        <v>0</v>
      </c>
    </row>
    <row r="27" spans="1:16" ht="15" x14ac:dyDescent="0.25">
      <c r="A27" s="19" t="s">
        <v>51</v>
      </c>
      <c r="B27" s="34" t="s">
        <v>52</v>
      </c>
      <c r="C27" s="31">
        <v>25000000</v>
      </c>
      <c r="D27" s="22"/>
      <c r="E27" s="22"/>
      <c r="F27" s="23">
        <v>0</v>
      </c>
      <c r="G27" s="36"/>
      <c r="H27" s="63">
        <v>5000000</v>
      </c>
      <c r="I27" s="21">
        <f t="shared" si="11"/>
        <v>20000000</v>
      </c>
      <c r="J27" s="22">
        <f>OCTUBRE!I27+OCTUBRE!J27</f>
        <v>20000000</v>
      </c>
      <c r="K27" s="22"/>
      <c r="L27" s="21">
        <f t="shared" si="12"/>
        <v>20000000</v>
      </c>
      <c r="M27" s="16">
        <f t="shared" si="1"/>
        <v>1</v>
      </c>
      <c r="N27" s="25">
        <f t="shared" si="3"/>
        <v>20000000</v>
      </c>
      <c r="O27" s="26">
        <f t="shared" si="13"/>
        <v>0</v>
      </c>
      <c r="P27" s="35">
        <f t="shared" si="2"/>
        <v>0</v>
      </c>
    </row>
    <row r="28" spans="1:16" ht="15" x14ac:dyDescent="0.25">
      <c r="A28" s="19">
        <v>45</v>
      </c>
      <c r="B28" s="34" t="s">
        <v>52</v>
      </c>
      <c r="C28" s="31"/>
      <c r="D28" s="22"/>
      <c r="E28" s="22"/>
      <c r="F28" s="23">
        <v>25000000</v>
      </c>
      <c r="G28" s="36"/>
      <c r="H28" s="63">
        <f>9280000+1604952</f>
        <v>10884952</v>
      </c>
      <c r="I28" s="21">
        <f t="shared" si="11"/>
        <v>14115048</v>
      </c>
      <c r="J28" s="22">
        <f>OCTUBRE!I28+OCTUBRE!J28</f>
        <v>12988303</v>
      </c>
      <c r="K28" s="22">
        <v>0</v>
      </c>
      <c r="L28" s="21">
        <f t="shared" si="12"/>
        <v>12988303</v>
      </c>
      <c r="M28" s="16"/>
      <c r="N28" s="25">
        <f t="shared" si="3"/>
        <v>12988303</v>
      </c>
      <c r="O28" s="26">
        <f t="shared" si="13"/>
        <v>1126745</v>
      </c>
      <c r="P28" s="35">
        <f t="shared" si="2"/>
        <v>7.9825800096464422E-2</v>
      </c>
    </row>
    <row r="29" spans="1:16" ht="15" x14ac:dyDescent="0.25">
      <c r="A29" s="19" t="s">
        <v>53</v>
      </c>
      <c r="B29" s="33" t="s">
        <v>54</v>
      </c>
      <c r="C29" s="32">
        <v>1200000</v>
      </c>
      <c r="D29" s="22"/>
      <c r="E29" s="22"/>
      <c r="F29" s="23"/>
      <c r="G29" s="36"/>
      <c r="H29" s="64"/>
      <c r="I29" s="21">
        <f t="shared" si="11"/>
        <v>1200000</v>
      </c>
      <c r="J29" s="22">
        <f>OCTUBRE!I29+OCTUBRE!J29</f>
        <v>0</v>
      </c>
      <c r="K29" s="22">
        <v>0</v>
      </c>
      <c r="L29" s="21">
        <f t="shared" si="12"/>
        <v>0</v>
      </c>
      <c r="M29" s="16">
        <f t="shared" si="1"/>
        <v>0</v>
      </c>
      <c r="N29" s="17">
        <f t="shared" si="3"/>
        <v>0</v>
      </c>
      <c r="O29" s="26">
        <f t="shared" si="13"/>
        <v>1200000</v>
      </c>
      <c r="P29" s="35">
        <f>O29/I29</f>
        <v>1</v>
      </c>
    </row>
    <row r="30" spans="1:16" ht="15" x14ac:dyDescent="0.25">
      <c r="A30" s="19">
        <v>45</v>
      </c>
      <c r="B30" s="33" t="s">
        <v>54</v>
      </c>
      <c r="C30" s="32">
        <v>0</v>
      </c>
      <c r="D30" s="22"/>
      <c r="E30" s="22"/>
      <c r="F30" s="23"/>
      <c r="G30" s="36">
        <v>800000</v>
      </c>
      <c r="H30" s="64"/>
      <c r="I30" s="21">
        <f t="shared" si="11"/>
        <v>800000</v>
      </c>
      <c r="J30" s="22">
        <f>OCTUBRE!I30+OCTUBRE!J30</f>
        <v>0</v>
      </c>
      <c r="K30" s="22">
        <v>0</v>
      </c>
      <c r="L30" s="21"/>
      <c r="M30" s="16"/>
      <c r="N30" s="17">
        <f t="shared" si="3"/>
        <v>0</v>
      </c>
      <c r="O30" s="26">
        <f t="shared" si="13"/>
        <v>800000</v>
      </c>
      <c r="P30" s="35">
        <f>O30/I30</f>
        <v>1</v>
      </c>
    </row>
    <row r="31" spans="1:16" ht="15" x14ac:dyDescent="0.25">
      <c r="A31" s="19" t="s">
        <v>55</v>
      </c>
      <c r="B31" s="33" t="s">
        <v>56</v>
      </c>
      <c r="C31" s="32">
        <v>0</v>
      </c>
      <c r="D31" s="22"/>
      <c r="E31" s="22"/>
      <c r="F31" s="23"/>
      <c r="G31" s="36"/>
      <c r="H31" s="63"/>
      <c r="I31" s="21">
        <f t="shared" si="11"/>
        <v>0</v>
      </c>
      <c r="J31" s="22">
        <f>OCTUBRE!I31+OCTUBRE!J31</f>
        <v>0</v>
      </c>
      <c r="K31" s="22"/>
      <c r="L31" s="21">
        <f t="shared" si="12"/>
        <v>0</v>
      </c>
      <c r="M31" s="16">
        <v>0</v>
      </c>
      <c r="N31" s="17">
        <f t="shared" si="3"/>
        <v>0</v>
      </c>
      <c r="O31" s="26">
        <f t="shared" si="13"/>
        <v>0</v>
      </c>
      <c r="P31" s="35">
        <v>0</v>
      </c>
    </row>
    <row r="32" spans="1:16" s="72" customFormat="1" ht="27.75" customHeight="1" x14ac:dyDescent="0.2">
      <c r="A32" s="65" t="s">
        <v>57</v>
      </c>
      <c r="B32" s="66" t="s">
        <v>58</v>
      </c>
      <c r="C32" s="68">
        <f t="shared" ref="C32:K32" si="14">SUM(C33:C51)</f>
        <v>119922165</v>
      </c>
      <c r="D32" s="68">
        <f t="shared" si="14"/>
        <v>0</v>
      </c>
      <c r="E32" s="68"/>
      <c r="F32" s="68">
        <f t="shared" si="14"/>
        <v>55689850</v>
      </c>
      <c r="G32" s="68">
        <f t="shared" si="14"/>
        <v>62697514</v>
      </c>
      <c r="H32" s="68">
        <f t="shared" si="14"/>
        <v>32754165</v>
      </c>
      <c r="I32" s="68">
        <f t="shared" si="14"/>
        <v>205555364</v>
      </c>
      <c r="J32" s="68">
        <f t="shared" si="14"/>
        <v>165418367</v>
      </c>
      <c r="K32" s="68">
        <f t="shared" si="14"/>
        <v>27083997</v>
      </c>
      <c r="L32" s="68">
        <f>SUM(L33:L51)</f>
        <v>192502364</v>
      </c>
      <c r="M32" s="69">
        <f t="shared" si="1"/>
        <v>0.93649885974272118</v>
      </c>
      <c r="N32" s="70">
        <f>J32+K32</f>
        <v>192502364</v>
      </c>
      <c r="O32" s="75">
        <f>SUM(O33:O51)</f>
        <v>13053000</v>
      </c>
      <c r="P32" s="71">
        <f t="shared" si="2"/>
        <v>6.3501140257278807E-2</v>
      </c>
    </row>
    <row r="33" spans="1:16" ht="15" x14ac:dyDescent="0.25">
      <c r="A33" s="19" t="s">
        <v>59</v>
      </c>
      <c r="B33" s="33" t="s">
        <v>60</v>
      </c>
      <c r="C33" s="31">
        <v>10000000</v>
      </c>
      <c r="D33" s="22"/>
      <c r="E33" s="22"/>
      <c r="F33" s="23">
        <v>0</v>
      </c>
      <c r="G33" s="36">
        <v>2500000</v>
      </c>
      <c r="H33" s="63"/>
      <c r="I33" s="21">
        <f t="shared" ref="I33:I51" si="15">C33-D33+F33+G33-H33</f>
        <v>12500000</v>
      </c>
      <c r="J33" s="22">
        <f>OCTUBRE!I33+OCTUBRE!J33</f>
        <v>12500000</v>
      </c>
      <c r="K33" s="22">
        <v>0</v>
      </c>
      <c r="L33" s="21">
        <f t="shared" si="12"/>
        <v>12500000</v>
      </c>
      <c r="M33" s="16">
        <f t="shared" si="1"/>
        <v>1</v>
      </c>
      <c r="N33" s="25">
        <f t="shared" si="3"/>
        <v>12500000</v>
      </c>
      <c r="O33" s="26">
        <f t="shared" ref="O33:O47" si="16">I33-L33</f>
        <v>0</v>
      </c>
      <c r="P33" s="35">
        <f t="shared" si="2"/>
        <v>0</v>
      </c>
    </row>
    <row r="34" spans="1:16" ht="15" x14ac:dyDescent="0.25">
      <c r="A34" s="19">
        <v>45</v>
      </c>
      <c r="B34" s="33" t="s">
        <v>60</v>
      </c>
      <c r="C34" s="31"/>
      <c r="D34" s="22"/>
      <c r="E34" s="22"/>
      <c r="F34" s="23">
        <v>15000000</v>
      </c>
      <c r="G34" s="36"/>
      <c r="H34" s="63">
        <f>8000000+420000</f>
        <v>8420000</v>
      </c>
      <c r="I34" s="21">
        <f t="shared" si="15"/>
        <v>6580000</v>
      </c>
      <c r="J34" s="22">
        <f>OCTUBRE!I34+OCTUBRE!J34</f>
        <v>4066891</v>
      </c>
      <c r="K34" s="22">
        <v>0</v>
      </c>
      <c r="L34" s="21">
        <f t="shared" si="12"/>
        <v>4066891</v>
      </c>
      <c r="M34" s="16">
        <f t="shared" si="1"/>
        <v>0.61806854103343467</v>
      </c>
      <c r="N34" s="25">
        <f t="shared" si="3"/>
        <v>4066891</v>
      </c>
      <c r="O34" s="26">
        <f t="shared" si="16"/>
        <v>2513109</v>
      </c>
      <c r="P34" s="35">
        <f t="shared" si="2"/>
        <v>0.38193145896656533</v>
      </c>
    </row>
    <row r="35" spans="1:16" ht="15" x14ac:dyDescent="0.25">
      <c r="A35" s="19" t="s">
        <v>61</v>
      </c>
      <c r="B35" s="33" t="s">
        <v>62</v>
      </c>
      <c r="C35" s="31">
        <v>25000000</v>
      </c>
      <c r="D35" s="22"/>
      <c r="E35" s="22"/>
      <c r="F35" s="23">
        <v>0</v>
      </c>
      <c r="G35" s="36">
        <f>30000000+5000000+4000000+17230315</f>
        <v>56230315</v>
      </c>
      <c r="H35" s="63"/>
      <c r="I35" s="21">
        <f t="shared" si="15"/>
        <v>81230315</v>
      </c>
      <c r="J35" s="22">
        <f>OCTUBRE!I35+OCTUBRE!J35</f>
        <v>67702914</v>
      </c>
      <c r="K35" s="22">
        <v>5433400</v>
      </c>
      <c r="L35" s="21">
        <f t="shared" si="12"/>
        <v>73136314</v>
      </c>
      <c r="M35" s="16">
        <f t="shared" si="1"/>
        <v>0.90035738504768814</v>
      </c>
      <c r="N35" s="25">
        <f>K35+J35</f>
        <v>73136314</v>
      </c>
      <c r="O35" s="26">
        <f t="shared" si="16"/>
        <v>8094001</v>
      </c>
      <c r="P35" s="35">
        <f t="shared" si="2"/>
        <v>9.9642614952311831E-2</v>
      </c>
    </row>
    <row r="36" spans="1:16" ht="15" x14ac:dyDescent="0.25">
      <c r="A36" s="19">
        <v>45</v>
      </c>
      <c r="B36" s="33" t="s">
        <v>62</v>
      </c>
      <c r="C36" s="31"/>
      <c r="D36" s="22"/>
      <c r="E36" s="22"/>
      <c r="F36" s="23">
        <v>32431604</v>
      </c>
      <c r="G36" s="36"/>
      <c r="H36" s="63"/>
      <c r="I36" s="21">
        <f t="shared" si="15"/>
        <v>32431604</v>
      </c>
      <c r="J36" s="22">
        <f>OCTUBRE!I36+OCTUBRE!J36</f>
        <v>32431604</v>
      </c>
      <c r="K36" s="22"/>
      <c r="L36" s="21">
        <f t="shared" si="12"/>
        <v>32431604</v>
      </c>
      <c r="M36" s="16">
        <f t="shared" si="1"/>
        <v>1</v>
      </c>
      <c r="N36" s="25">
        <f>K36+J36</f>
        <v>32431604</v>
      </c>
      <c r="O36" s="26">
        <f t="shared" si="16"/>
        <v>0</v>
      </c>
      <c r="P36" s="35">
        <f t="shared" si="2"/>
        <v>0</v>
      </c>
    </row>
    <row r="37" spans="1:16" ht="15" x14ac:dyDescent="0.25">
      <c r="A37" s="19" t="s">
        <v>63</v>
      </c>
      <c r="B37" s="33" t="s">
        <v>64</v>
      </c>
      <c r="C37" s="31">
        <v>4400000</v>
      </c>
      <c r="D37" s="22"/>
      <c r="E37" s="22"/>
      <c r="F37" s="23"/>
      <c r="G37" s="36"/>
      <c r="H37" s="63">
        <v>2000000</v>
      </c>
      <c r="I37" s="21">
        <f t="shared" si="15"/>
        <v>2400000</v>
      </c>
      <c r="J37" s="22">
        <f>OCTUBRE!I37+OCTUBRE!J37</f>
        <v>2397069</v>
      </c>
      <c r="K37" s="43">
        <v>0</v>
      </c>
      <c r="L37" s="21">
        <f t="shared" si="12"/>
        <v>2397069</v>
      </c>
      <c r="M37" s="16">
        <f t="shared" si="1"/>
        <v>0.99877875000000005</v>
      </c>
      <c r="N37" s="25">
        <f t="shared" si="3"/>
        <v>2397069</v>
      </c>
      <c r="O37" s="26">
        <f t="shared" si="16"/>
        <v>2931</v>
      </c>
      <c r="P37" s="35">
        <f t="shared" si="2"/>
        <v>1.2212499999999999E-3</v>
      </c>
    </row>
    <row r="38" spans="1:16" ht="15" x14ac:dyDescent="0.25">
      <c r="A38" s="19" t="s">
        <v>65</v>
      </c>
      <c r="B38" s="33" t="s">
        <v>66</v>
      </c>
      <c r="C38" s="32">
        <v>10000000</v>
      </c>
      <c r="D38" s="22"/>
      <c r="E38" s="22"/>
      <c r="F38" s="23"/>
      <c r="G38" s="36"/>
      <c r="H38" s="63"/>
      <c r="I38" s="21">
        <f t="shared" si="15"/>
        <v>10000000</v>
      </c>
      <c r="J38" s="22">
        <f>OCTUBRE!I38+OCTUBRE!J38</f>
        <v>8697802</v>
      </c>
      <c r="K38" s="43">
        <v>899300</v>
      </c>
      <c r="L38" s="21">
        <f t="shared" si="12"/>
        <v>9597102</v>
      </c>
      <c r="M38" s="16">
        <f t="shared" si="1"/>
        <v>0.95971019999999996</v>
      </c>
      <c r="N38" s="25">
        <f t="shared" si="3"/>
        <v>9597102</v>
      </c>
      <c r="O38" s="26">
        <f t="shared" si="16"/>
        <v>402898</v>
      </c>
      <c r="P38" s="18">
        <f t="shared" si="2"/>
        <v>4.0289800000000001E-2</v>
      </c>
    </row>
    <row r="39" spans="1:16" ht="15" x14ac:dyDescent="0.25">
      <c r="A39" s="19" t="s">
        <v>67</v>
      </c>
      <c r="B39" s="33" t="s">
        <v>68</v>
      </c>
      <c r="C39" s="32">
        <v>4800000</v>
      </c>
      <c r="D39" s="22"/>
      <c r="E39" s="22"/>
      <c r="F39" s="23"/>
      <c r="G39" s="36">
        <v>1412000</v>
      </c>
      <c r="H39" s="63"/>
      <c r="I39" s="21">
        <f t="shared" si="15"/>
        <v>6212000</v>
      </c>
      <c r="J39" s="22">
        <f>OCTUBRE!I39+OCTUBRE!J39</f>
        <v>5183527</v>
      </c>
      <c r="K39" s="43">
        <v>512897</v>
      </c>
      <c r="L39" s="21">
        <f t="shared" si="12"/>
        <v>5696424</v>
      </c>
      <c r="M39" s="16">
        <f t="shared" si="1"/>
        <v>0.91700321957501607</v>
      </c>
      <c r="N39" s="25">
        <f t="shared" si="3"/>
        <v>5696424</v>
      </c>
      <c r="O39" s="26">
        <f t="shared" si="16"/>
        <v>515576</v>
      </c>
      <c r="P39" s="18">
        <f t="shared" si="2"/>
        <v>8.2996780424983901E-2</v>
      </c>
    </row>
    <row r="40" spans="1:16" ht="15" x14ac:dyDescent="0.25">
      <c r="A40" s="19" t="s">
        <v>69</v>
      </c>
      <c r="B40" s="33" t="s">
        <v>70</v>
      </c>
      <c r="C40" s="32">
        <v>3200000</v>
      </c>
      <c r="D40" s="22"/>
      <c r="E40" s="22"/>
      <c r="F40" s="23"/>
      <c r="G40" s="36"/>
      <c r="H40" s="63">
        <v>1412000</v>
      </c>
      <c r="I40" s="21">
        <f t="shared" si="15"/>
        <v>1788000</v>
      </c>
      <c r="J40" s="22">
        <f>OCTUBRE!I40+OCTUBRE!J40</f>
        <v>1027115</v>
      </c>
      <c r="K40" s="27">
        <v>127550</v>
      </c>
      <c r="L40" s="21">
        <f t="shared" si="12"/>
        <v>1154665</v>
      </c>
      <c r="M40" s="16">
        <f t="shared" si="1"/>
        <v>0.64578579418344517</v>
      </c>
      <c r="N40" s="25">
        <f t="shared" si="3"/>
        <v>1154665</v>
      </c>
      <c r="O40" s="26">
        <f t="shared" si="16"/>
        <v>633335</v>
      </c>
      <c r="P40" s="18">
        <v>0</v>
      </c>
    </row>
    <row r="41" spans="1:16" ht="15" x14ac:dyDescent="0.25">
      <c r="A41" s="19" t="s">
        <v>71</v>
      </c>
      <c r="B41" s="34" t="s">
        <v>72</v>
      </c>
      <c r="C41" s="32">
        <v>3822165</v>
      </c>
      <c r="D41" s="22"/>
      <c r="E41" s="22"/>
      <c r="F41" s="23"/>
      <c r="G41" s="36"/>
      <c r="H41" s="63">
        <v>3322165</v>
      </c>
      <c r="I41" s="21">
        <f t="shared" si="15"/>
        <v>500000</v>
      </c>
      <c r="J41" s="22">
        <f>OCTUBRE!I41+OCTUBRE!J41</f>
        <v>500000</v>
      </c>
      <c r="K41" s="22">
        <v>0</v>
      </c>
      <c r="L41" s="21">
        <f t="shared" si="12"/>
        <v>500000</v>
      </c>
      <c r="M41" s="16">
        <f t="shared" si="1"/>
        <v>1</v>
      </c>
      <c r="N41" s="25">
        <f t="shared" si="3"/>
        <v>500000</v>
      </c>
      <c r="O41" s="26">
        <f t="shared" si="16"/>
        <v>0</v>
      </c>
      <c r="P41" s="18">
        <f t="shared" ref="P41:P71" si="17">O41/I41</f>
        <v>0</v>
      </c>
    </row>
    <row r="42" spans="1:16" ht="15" x14ac:dyDescent="0.25">
      <c r="A42" s="19" t="s">
        <v>73</v>
      </c>
      <c r="B42" s="33" t="s">
        <v>74</v>
      </c>
      <c r="C42" s="32">
        <v>0</v>
      </c>
      <c r="D42" s="22"/>
      <c r="E42" s="22"/>
      <c r="F42" s="23"/>
      <c r="G42" s="38"/>
      <c r="H42" s="63"/>
      <c r="I42" s="21">
        <f t="shared" si="15"/>
        <v>0</v>
      </c>
      <c r="J42" s="22">
        <f>OCTUBRE!I42+OCTUBRE!J42</f>
        <v>0</v>
      </c>
      <c r="K42" s="22"/>
      <c r="L42" s="21">
        <f t="shared" si="12"/>
        <v>0</v>
      </c>
      <c r="M42" s="16">
        <v>0</v>
      </c>
      <c r="N42" s="25">
        <f t="shared" si="3"/>
        <v>0</v>
      </c>
      <c r="O42" s="26">
        <f t="shared" si="16"/>
        <v>0</v>
      </c>
      <c r="P42" s="18">
        <v>0</v>
      </c>
    </row>
    <row r="43" spans="1:16" ht="15" x14ac:dyDescent="0.25">
      <c r="A43" s="19" t="s">
        <v>75</v>
      </c>
      <c r="B43" s="33" t="s">
        <v>76</v>
      </c>
      <c r="C43" s="32">
        <v>11000000</v>
      </c>
      <c r="D43" s="22"/>
      <c r="E43" s="22"/>
      <c r="F43" s="23"/>
      <c r="G43" s="36"/>
      <c r="H43" s="63">
        <v>3600000</v>
      </c>
      <c r="I43" s="21">
        <f t="shared" si="15"/>
        <v>7400000</v>
      </c>
      <c r="J43" s="22">
        <f>OCTUBRE!I43+OCTUBRE!J43</f>
        <v>7400000</v>
      </c>
      <c r="K43" s="45"/>
      <c r="L43" s="21">
        <f t="shared" si="12"/>
        <v>7400000</v>
      </c>
      <c r="M43" s="16">
        <f t="shared" si="1"/>
        <v>1</v>
      </c>
      <c r="N43" s="25">
        <f t="shared" si="3"/>
        <v>7400000</v>
      </c>
      <c r="O43" s="26">
        <f t="shared" si="16"/>
        <v>0</v>
      </c>
      <c r="P43" s="18">
        <f t="shared" si="17"/>
        <v>0</v>
      </c>
    </row>
    <row r="44" spans="1:16" ht="15" x14ac:dyDescent="0.25">
      <c r="A44" s="19">
        <v>45</v>
      </c>
      <c r="B44" s="33" t="s">
        <v>76</v>
      </c>
      <c r="C44" s="32">
        <v>0</v>
      </c>
      <c r="D44" s="22"/>
      <c r="E44" s="22"/>
      <c r="F44" s="23"/>
      <c r="G44" s="36">
        <f>513445+420000</f>
        <v>933445</v>
      </c>
      <c r="H44" s="63"/>
      <c r="I44" s="21">
        <f t="shared" si="15"/>
        <v>933445</v>
      </c>
      <c r="J44" s="22">
        <f>OCTUBRE!I44+OCTUBRE!J44</f>
        <v>513445</v>
      </c>
      <c r="K44" s="45">
        <v>410850</v>
      </c>
      <c r="L44" s="21">
        <f t="shared" si="12"/>
        <v>924295</v>
      </c>
      <c r="M44" s="16">
        <f t="shared" si="1"/>
        <v>0.99019760135840895</v>
      </c>
      <c r="N44" s="25">
        <f t="shared" si="3"/>
        <v>924295</v>
      </c>
      <c r="O44" s="26">
        <f t="shared" si="16"/>
        <v>9150</v>
      </c>
      <c r="P44" s="18">
        <f t="shared" si="17"/>
        <v>9.8023986415910948E-3</v>
      </c>
    </row>
    <row r="45" spans="1:16" ht="15" x14ac:dyDescent="0.25">
      <c r="A45" s="19" t="s">
        <v>77</v>
      </c>
      <c r="B45" s="34" t="s">
        <v>78</v>
      </c>
      <c r="C45" s="32">
        <v>20700000</v>
      </c>
      <c r="D45" s="22"/>
      <c r="E45" s="22"/>
      <c r="F45" s="23">
        <v>8258246</v>
      </c>
      <c r="G45" s="36">
        <v>741754</v>
      </c>
      <c r="H45" s="63">
        <v>10000000</v>
      </c>
      <c r="I45" s="21">
        <f t="shared" si="15"/>
        <v>19700000</v>
      </c>
      <c r="J45" s="22">
        <f>OCTUBRE!I45+OCTUBRE!J45</f>
        <v>0</v>
      </c>
      <c r="K45" s="45">
        <v>19700000</v>
      </c>
      <c r="L45" s="21">
        <f t="shared" si="12"/>
        <v>19700000</v>
      </c>
      <c r="M45" s="16">
        <f t="shared" si="1"/>
        <v>1</v>
      </c>
      <c r="N45" s="25">
        <f t="shared" si="3"/>
        <v>19700000</v>
      </c>
      <c r="O45" s="26">
        <f t="shared" si="16"/>
        <v>0</v>
      </c>
      <c r="P45" s="35">
        <f t="shared" si="17"/>
        <v>0</v>
      </c>
    </row>
    <row r="46" spans="1:16" ht="15" x14ac:dyDescent="0.25">
      <c r="A46" s="19" t="s">
        <v>79</v>
      </c>
      <c r="B46" s="33" t="s">
        <v>80</v>
      </c>
      <c r="C46" s="32">
        <v>3000000</v>
      </c>
      <c r="D46" s="22"/>
      <c r="E46" s="22"/>
      <c r="F46" s="23"/>
      <c r="G46" s="36"/>
      <c r="H46" s="63"/>
      <c r="I46" s="21">
        <f t="shared" si="15"/>
        <v>3000000</v>
      </c>
      <c r="J46" s="22">
        <f>OCTUBRE!I46+OCTUBRE!J46</f>
        <v>2998000</v>
      </c>
      <c r="K46" s="45">
        <v>0</v>
      </c>
      <c r="L46" s="21">
        <f t="shared" si="12"/>
        <v>2998000</v>
      </c>
      <c r="M46" s="16">
        <f t="shared" si="1"/>
        <v>0.9993333333333333</v>
      </c>
      <c r="N46" s="25">
        <f t="shared" si="3"/>
        <v>2998000</v>
      </c>
      <c r="O46" s="26">
        <f t="shared" si="16"/>
        <v>2000</v>
      </c>
      <c r="P46" s="35">
        <f t="shared" si="17"/>
        <v>6.6666666666666664E-4</v>
      </c>
    </row>
    <row r="47" spans="1:16" ht="15" x14ac:dyDescent="0.25">
      <c r="A47" s="19" t="s">
        <v>81</v>
      </c>
      <c r="B47" s="33" t="s">
        <v>82</v>
      </c>
      <c r="C47" s="32">
        <v>20000000</v>
      </c>
      <c r="D47" s="22"/>
      <c r="E47" s="22"/>
      <c r="F47" s="23"/>
      <c r="G47" s="36"/>
      <c r="H47" s="63"/>
      <c r="I47" s="21">
        <f t="shared" si="15"/>
        <v>20000000</v>
      </c>
      <c r="J47" s="22">
        <f>OCTUBRE!I47+OCTUBRE!J47</f>
        <v>20000000</v>
      </c>
      <c r="K47" s="22">
        <v>0</v>
      </c>
      <c r="L47" s="21">
        <f t="shared" si="12"/>
        <v>20000000</v>
      </c>
      <c r="M47" s="16">
        <f t="shared" si="1"/>
        <v>1</v>
      </c>
      <c r="N47" s="25">
        <f t="shared" si="3"/>
        <v>20000000</v>
      </c>
      <c r="O47" s="26">
        <f t="shared" si="16"/>
        <v>0</v>
      </c>
      <c r="P47" s="18">
        <f t="shared" si="17"/>
        <v>0</v>
      </c>
    </row>
    <row r="48" spans="1:16" ht="15" x14ac:dyDescent="0.25">
      <c r="A48" s="19" t="s">
        <v>83</v>
      </c>
      <c r="B48" s="33" t="s">
        <v>84</v>
      </c>
      <c r="C48" s="32">
        <v>4000000</v>
      </c>
      <c r="D48" s="22"/>
      <c r="E48" s="22"/>
      <c r="F48" s="23"/>
      <c r="G48" s="36"/>
      <c r="H48" s="63">
        <v>4000000</v>
      </c>
      <c r="I48" s="21">
        <f t="shared" si="15"/>
        <v>0</v>
      </c>
      <c r="J48" s="22">
        <f>OCTUBRE!I48+OCTUBRE!J48</f>
        <v>0</v>
      </c>
      <c r="K48" s="22">
        <v>0</v>
      </c>
      <c r="L48" s="21">
        <f t="shared" si="12"/>
        <v>0</v>
      </c>
      <c r="M48" s="16">
        <v>0</v>
      </c>
      <c r="N48" s="25">
        <f t="shared" si="3"/>
        <v>0</v>
      </c>
      <c r="O48" s="26">
        <f>I48-L48</f>
        <v>0</v>
      </c>
      <c r="P48" s="18">
        <v>0</v>
      </c>
    </row>
    <row r="49" spans="1:18" ht="15" x14ac:dyDescent="0.25">
      <c r="A49" s="19" t="s">
        <v>85</v>
      </c>
      <c r="B49" s="33" t="s">
        <v>86</v>
      </c>
      <c r="C49" s="32">
        <v>0</v>
      </c>
      <c r="D49" s="22"/>
      <c r="E49" s="22"/>
      <c r="F49" s="23"/>
      <c r="G49" s="36"/>
      <c r="H49" s="63"/>
      <c r="I49" s="21">
        <f t="shared" si="15"/>
        <v>0</v>
      </c>
      <c r="J49" s="22">
        <f>OCTUBRE!I49+OCTUBRE!J49</f>
        <v>0</v>
      </c>
      <c r="K49" s="22">
        <v>0</v>
      </c>
      <c r="L49" s="21">
        <f t="shared" si="12"/>
        <v>0</v>
      </c>
      <c r="M49" s="16">
        <v>0</v>
      </c>
      <c r="N49" s="25">
        <f t="shared" si="3"/>
        <v>0</v>
      </c>
      <c r="O49" s="26">
        <f>I49-L49</f>
        <v>0</v>
      </c>
      <c r="P49" s="18">
        <v>0</v>
      </c>
    </row>
    <row r="50" spans="1:18" ht="15" x14ac:dyDescent="0.25">
      <c r="A50" s="183">
        <v>2020120215</v>
      </c>
      <c r="B50" s="33" t="s">
        <v>126</v>
      </c>
      <c r="C50" s="182">
        <v>0</v>
      </c>
      <c r="D50" s="22"/>
      <c r="E50" s="22"/>
      <c r="F50" s="23"/>
      <c r="G50" s="36">
        <v>0</v>
      </c>
      <c r="H50" s="63"/>
      <c r="I50" s="21">
        <f t="shared" si="15"/>
        <v>0</v>
      </c>
      <c r="J50" s="22">
        <f>OCTUBRE!I50+OCTUBRE!J50</f>
        <v>0</v>
      </c>
      <c r="K50" s="22">
        <v>0</v>
      </c>
      <c r="L50" s="21">
        <f t="shared" si="12"/>
        <v>0</v>
      </c>
      <c r="M50" s="16">
        <v>0</v>
      </c>
      <c r="N50" s="25">
        <f t="shared" si="3"/>
        <v>0</v>
      </c>
      <c r="O50" s="26">
        <f>I50-L50</f>
        <v>0</v>
      </c>
      <c r="P50" s="18">
        <v>0</v>
      </c>
    </row>
    <row r="51" spans="1:18" ht="15" x14ac:dyDescent="0.25">
      <c r="A51" s="183">
        <v>45</v>
      </c>
      <c r="B51" s="33" t="s">
        <v>126</v>
      </c>
      <c r="C51" s="182">
        <v>0</v>
      </c>
      <c r="D51" s="22"/>
      <c r="E51" s="22"/>
      <c r="F51" s="23"/>
      <c r="G51" s="36">
        <v>880000</v>
      </c>
      <c r="H51" s="63"/>
      <c r="I51" s="21">
        <f t="shared" si="15"/>
        <v>880000</v>
      </c>
      <c r="J51" s="22">
        <f>OCTUBRE!I51+OCTUBRE!J51</f>
        <v>0</v>
      </c>
      <c r="K51" s="22">
        <v>0</v>
      </c>
      <c r="L51" s="21">
        <f t="shared" si="12"/>
        <v>0</v>
      </c>
      <c r="M51" s="16">
        <v>0</v>
      </c>
      <c r="N51" s="25">
        <f t="shared" si="3"/>
        <v>0</v>
      </c>
      <c r="O51" s="26">
        <f>I51-L51</f>
        <v>880000</v>
      </c>
      <c r="P51" s="18">
        <v>0</v>
      </c>
    </row>
    <row r="52" spans="1:18" s="72" customFormat="1" ht="27.75" customHeight="1" x14ac:dyDescent="0.2">
      <c r="A52" s="65" t="s">
        <v>87</v>
      </c>
      <c r="B52" s="82" t="s">
        <v>88</v>
      </c>
      <c r="C52" s="73">
        <f>SUM(C53:C56)</f>
        <v>115800000</v>
      </c>
      <c r="D52" s="73">
        <f t="shared" ref="D52:K52" si="18">SUM(D53:D56)</f>
        <v>30000000</v>
      </c>
      <c r="E52" s="73">
        <f>SUM(E53:E56)</f>
        <v>30000000</v>
      </c>
      <c r="F52" s="73">
        <f t="shared" si="18"/>
        <v>0</v>
      </c>
      <c r="G52" s="73">
        <f t="shared" si="18"/>
        <v>0</v>
      </c>
      <c r="H52" s="73">
        <f t="shared" si="18"/>
        <v>0</v>
      </c>
      <c r="I52" s="73">
        <f t="shared" si="18"/>
        <v>115800000</v>
      </c>
      <c r="J52" s="73">
        <f t="shared" si="18"/>
        <v>73443476</v>
      </c>
      <c r="K52" s="73">
        <f t="shared" si="18"/>
        <v>3348793</v>
      </c>
      <c r="L52" s="68">
        <f t="shared" ref="L52" si="19">L53+L54+L55+L56</f>
        <v>76792269</v>
      </c>
      <c r="M52" s="69">
        <f t="shared" si="1"/>
        <v>0.66314567357512955</v>
      </c>
      <c r="N52" s="73">
        <f t="shared" si="3"/>
        <v>76792269</v>
      </c>
      <c r="O52" s="73">
        <f t="shared" ref="O52" si="20">SUM(O53:O56)</f>
        <v>39007731</v>
      </c>
      <c r="P52" s="71">
        <f t="shared" si="17"/>
        <v>0.33685432642487045</v>
      </c>
    </row>
    <row r="53" spans="1:18" ht="15" x14ac:dyDescent="0.25">
      <c r="A53" s="19" t="s">
        <v>89</v>
      </c>
      <c r="B53" s="33" t="s">
        <v>90</v>
      </c>
      <c r="C53" s="21">
        <v>33000000</v>
      </c>
      <c r="D53" s="22">
        <v>30000000</v>
      </c>
      <c r="E53" s="22">
        <v>30000000</v>
      </c>
      <c r="F53" s="23"/>
      <c r="G53" s="36"/>
      <c r="H53" s="63"/>
      <c r="I53" s="21">
        <f>C53+F53+G53-H53</f>
        <v>33000000</v>
      </c>
      <c r="J53" s="22">
        <f>OCTUBRE!I53+OCTUBRE!J53</f>
        <v>2092310</v>
      </c>
      <c r="K53" s="44">
        <v>0</v>
      </c>
      <c r="L53" s="21">
        <f t="shared" si="12"/>
        <v>2092310</v>
      </c>
      <c r="M53" s="16">
        <f t="shared" si="1"/>
        <v>6.3403333333333339E-2</v>
      </c>
      <c r="N53" s="25">
        <f t="shared" si="3"/>
        <v>2092310</v>
      </c>
      <c r="O53" s="26">
        <f>I53-L53-D53+E53</f>
        <v>30907690</v>
      </c>
      <c r="P53" s="18">
        <f t="shared" si="17"/>
        <v>0.93659666666666663</v>
      </c>
    </row>
    <row r="54" spans="1:18" ht="15" x14ac:dyDescent="0.25">
      <c r="A54" s="19" t="s">
        <v>91</v>
      </c>
      <c r="B54" s="33" t="s">
        <v>92</v>
      </c>
      <c r="C54" s="21">
        <v>38000000</v>
      </c>
      <c r="D54" s="22"/>
      <c r="E54" s="22"/>
      <c r="F54" s="23"/>
      <c r="G54" s="36"/>
      <c r="H54" s="63"/>
      <c r="I54" s="21">
        <f>C54-D54+F54+G54-H54</f>
        <v>38000000</v>
      </c>
      <c r="J54" s="22">
        <f>OCTUBRE!I54+OCTUBRE!J54</f>
        <v>33987654</v>
      </c>
      <c r="K54" s="43">
        <f>3348793</f>
        <v>3348793</v>
      </c>
      <c r="L54" s="21">
        <f t="shared" si="12"/>
        <v>37336447</v>
      </c>
      <c r="M54" s="16">
        <f t="shared" si="1"/>
        <v>0.98253807894736844</v>
      </c>
      <c r="N54" s="25">
        <f t="shared" si="3"/>
        <v>37336447</v>
      </c>
      <c r="O54" s="26">
        <f>I54-L54</f>
        <v>663553</v>
      </c>
      <c r="P54" s="18">
        <f t="shared" si="17"/>
        <v>1.7461921052631578E-2</v>
      </c>
      <c r="R54" s="37"/>
    </row>
    <row r="55" spans="1:18" ht="15" x14ac:dyDescent="0.25">
      <c r="A55" s="28">
        <v>2020110304</v>
      </c>
      <c r="B55" s="33" t="s">
        <v>93</v>
      </c>
      <c r="C55" s="21">
        <v>36800000</v>
      </c>
      <c r="D55" s="22"/>
      <c r="E55" s="22"/>
      <c r="F55" s="23"/>
      <c r="G55" s="36"/>
      <c r="H55" s="63"/>
      <c r="I55" s="21">
        <f>C55-D55+F55+G55-H55</f>
        <v>36800000</v>
      </c>
      <c r="J55" s="22">
        <f>OCTUBRE!I55+OCTUBRE!J55</f>
        <v>36800000</v>
      </c>
      <c r="K55" s="43">
        <v>0</v>
      </c>
      <c r="L55" s="21">
        <f t="shared" si="12"/>
        <v>36800000</v>
      </c>
      <c r="M55" s="16">
        <f t="shared" si="1"/>
        <v>1</v>
      </c>
      <c r="N55" s="25">
        <f t="shared" si="3"/>
        <v>36800000</v>
      </c>
      <c r="O55" s="26">
        <f>I55-L55</f>
        <v>0</v>
      </c>
      <c r="P55" s="18">
        <f t="shared" si="17"/>
        <v>0</v>
      </c>
      <c r="R55" s="37"/>
    </row>
    <row r="56" spans="1:18" ht="15" x14ac:dyDescent="0.25">
      <c r="A56" s="28">
        <v>2020110305</v>
      </c>
      <c r="B56" s="33" t="s">
        <v>94</v>
      </c>
      <c r="C56" s="21">
        <v>8000000</v>
      </c>
      <c r="D56" s="15"/>
      <c r="E56" s="15"/>
      <c r="F56" s="23"/>
      <c r="G56" s="36"/>
      <c r="H56" s="46"/>
      <c r="I56" s="21">
        <f>C56-D56+F56+G56-H56</f>
        <v>8000000</v>
      </c>
      <c r="J56" s="22">
        <f>OCTUBRE!I56+OCTUBRE!J56</f>
        <v>563512</v>
      </c>
      <c r="K56" s="21">
        <v>0</v>
      </c>
      <c r="L56" s="21">
        <f t="shared" si="12"/>
        <v>563512</v>
      </c>
      <c r="M56" s="16">
        <f t="shared" si="1"/>
        <v>7.0439000000000002E-2</v>
      </c>
      <c r="N56" s="25">
        <f t="shared" si="3"/>
        <v>563512</v>
      </c>
      <c r="O56" s="26">
        <f>I56-L56</f>
        <v>7436488</v>
      </c>
      <c r="P56" s="18">
        <f t="shared" si="17"/>
        <v>0.92956099999999997</v>
      </c>
      <c r="R56" s="37"/>
    </row>
    <row r="57" spans="1:18" s="72" customFormat="1" ht="27.75" customHeight="1" x14ac:dyDescent="0.2">
      <c r="A57" s="65">
        <v>20201104</v>
      </c>
      <c r="B57" s="83" t="s">
        <v>96</v>
      </c>
      <c r="C57" s="73">
        <f>SUM(C58:C67)</f>
        <v>100800000</v>
      </c>
      <c r="D57" s="73">
        <f t="shared" ref="D57:I57" si="21">SUM(D58:D67)</f>
        <v>16000000</v>
      </c>
      <c r="E57" s="73">
        <f>SUM(E58:E67)</f>
        <v>16000000</v>
      </c>
      <c r="F57" s="73">
        <f t="shared" si="21"/>
        <v>0</v>
      </c>
      <c r="G57" s="73">
        <f t="shared" si="21"/>
        <v>0</v>
      </c>
      <c r="H57" s="73">
        <f t="shared" si="21"/>
        <v>7000000</v>
      </c>
      <c r="I57" s="73">
        <f t="shared" si="21"/>
        <v>93800000</v>
      </c>
      <c r="J57" s="68">
        <f>SUM(J58:J67)</f>
        <v>54574963</v>
      </c>
      <c r="K57" s="68">
        <f>SUM(K58:K67)</f>
        <v>8542926</v>
      </c>
      <c r="L57" s="68">
        <f t="shared" si="12"/>
        <v>63117889</v>
      </c>
      <c r="M57" s="69">
        <f t="shared" si="1"/>
        <v>0.67289860341151386</v>
      </c>
      <c r="N57" s="70">
        <f t="shared" si="3"/>
        <v>63117889</v>
      </c>
      <c r="O57" s="75">
        <f>SUM(O58:O67)</f>
        <v>30682111</v>
      </c>
      <c r="P57" s="71">
        <f t="shared" si="17"/>
        <v>0.32710139658848614</v>
      </c>
      <c r="R57" s="79"/>
    </row>
    <row r="58" spans="1:18" ht="15" x14ac:dyDescent="0.25">
      <c r="A58" s="78" t="s">
        <v>97</v>
      </c>
      <c r="B58" s="33" t="s">
        <v>98</v>
      </c>
      <c r="C58" s="31">
        <v>21000000</v>
      </c>
      <c r="D58" s="22">
        <v>16000000</v>
      </c>
      <c r="E58" s="22">
        <v>16000000</v>
      </c>
      <c r="F58" s="23"/>
      <c r="G58" s="36"/>
      <c r="H58" s="63"/>
      <c r="I58" s="21">
        <f>C58+F58+G58-H58</f>
        <v>21000000</v>
      </c>
      <c r="J58" s="22">
        <f>OCTUBRE!I58+OCTUBRE!J58</f>
        <v>4435100</v>
      </c>
      <c r="K58" s="27">
        <v>0</v>
      </c>
      <c r="L58" s="21">
        <f t="shared" si="12"/>
        <v>4435100</v>
      </c>
      <c r="M58" s="16">
        <f t="shared" si="1"/>
        <v>0.2111952380952381</v>
      </c>
      <c r="N58" s="25">
        <f t="shared" si="3"/>
        <v>4435100</v>
      </c>
      <c r="O58" s="26">
        <f>I58-L58-D58+E58</f>
        <v>16564900</v>
      </c>
      <c r="P58" s="18">
        <f t="shared" si="17"/>
        <v>0.7888047619047619</v>
      </c>
      <c r="R58" s="37"/>
    </row>
    <row r="59" spans="1:18" ht="15" x14ac:dyDescent="0.25">
      <c r="A59" s="19" t="s">
        <v>99</v>
      </c>
      <c r="B59" s="33" t="s">
        <v>92</v>
      </c>
      <c r="C59" s="31">
        <v>0</v>
      </c>
      <c r="D59" s="22"/>
      <c r="E59" s="22"/>
      <c r="F59" s="23"/>
      <c r="G59" s="36"/>
      <c r="H59" s="63"/>
      <c r="I59" s="21">
        <f t="shared" ref="I59:I70" si="22">C59-D59+F59+G59-H59</f>
        <v>0</v>
      </c>
      <c r="J59" s="22">
        <f>OCTUBRE!I59+OCTUBRE!J59</f>
        <v>0</v>
      </c>
      <c r="K59" s="22">
        <v>0</v>
      </c>
      <c r="L59" s="21">
        <f t="shared" si="12"/>
        <v>0</v>
      </c>
      <c r="M59" s="16">
        <v>0</v>
      </c>
      <c r="N59" s="17">
        <f t="shared" si="3"/>
        <v>0</v>
      </c>
      <c r="O59" s="26">
        <f t="shared" ref="O59:O70" si="23">I59-L59</f>
        <v>0</v>
      </c>
      <c r="P59" s="18">
        <v>0</v>
      </c>
      <c r="R59" s="37"/>
    </row>
    <row r="60" spans="1:18" ht="15" x14ac:dyDescent="0.25">
      <c r="A60" s="19" t="s">
        <v>100</v>
      </c>
      <c r="B60" s="33" t="s">
        <v>101</v>
      </c>
      <c r="C60" s="31">
        <v>3000000</v>
      </c>
      <c r="D60" s="22"/>
      <c r="E60" s="22"/>
      <c r="F60" s="23"/>
      <c r="G60" s="36"/>
      <c r="H60" s="63"/>
      <c r="I60" s="21">
        <f t="shared" si="22"/>
        <v>3000000</v>
      </c>
      <c r="J60" s="22">
        <f>OCTUBRE!I60+OCTUBRE!J60</f>
        <v>2671000</v>
      </c>
      <c r="K60" s="43">
        <v>267200</v>
      </c>
      <c r="L60" s="21">
        <f t="shared" si="12"/>
        <v>2938200</v>
      </c>
      <c r="M60" s="16">
        <f t="shared" si="1"/>
        <v>0.97940000000000005</v>
      </c>
      <c r="N60" s="25">
        <f t="shared" si="3"/>
        <v>2938200</v>
      </c>
      <c r="O60" s="26">
        <f t="shared" si="23"/>
        <v>61800</v>
      </c>
      <c r="P60" s="18">
        <f t="shared" si="17"/>
        <v>2.06E-2</v>
      </c>
      <c r="R60" s="37"/>
    </row>
    <row r="61" spans="1:18" ht="15" x14ac:dyDescent="0.25">
      <c r="A61" s="19" t="s">
        <v>102</v>
      </c>
      <c r="B61" s="33" t="s">
        <v>93</v>
      </c>
      <c r="C61" s="32">
        <v>22000000</v>
      </c>
      <c r="D61" s="22"/>
      <c r="E61" s="22"/>
      <c r="F61" s="23"/>
      <c r="G61" s="36"/>
      <c r="H61" s="63"/>
      <c r="I61" s="21">
        <f t="shared" si="22"/>
        <v>22000000</v>
      </c>
      <c r="J61" s="22">
        <f>OCTUBRE!I61+OCTUBRE!J61</f>
        <v>11521963</v>
      </c>
      <c r="K61" s="39">
        <v>4727826</v>
      </c>
      <c r="L61" s="21">
        <f t="shared" si="12"/>
        <v>16249789</v>
      </c>
      <c r="M61" s="16">
        <f t="shared" si="1"/>
        <v>0.73862677272727273</v>
      </c>
      <c r="N61" s="25">
        <f t="shared" si="3"/>
        <v>16249789</v>
      </c>
      <c r="O61" s="26">
        <f t="shared" si="23"/>
        <v>5750211</v>
      </c>
      <c r="P61" s="18">
        <f t="shared" si="17"/>
        <v>0.26137322727272727</v>
      </c>
      <c r="R61" s="37"/>
    </row>
    <row r="62" spans="1:18" ht="15" x14ac:dyDescent="0.25">
      <c r="A62" s="19" t="s">
        <v>103</v>
      </c>
      <c r="B62" s="33" t="s">
        <v>104</v>
      </c>
      <c r="C62" s="32">
        <v>23000000</v>
      </c>
      <c r="D62" s="22"/>
      <c r="E62" s="22"/>
      <c r="F62" s="23"/>
      <c r="G62" s="36"/>
      <c r="H62" s="63">
        <v>3000000</v>
      </c>
      <c r="I62" s="21">
        <f t="shared" si="22"/>
        <v>20000000</v>
      </c>
      <c r="J62" s="22">
        <f>OCTUBRE!I62+OCTUBRE!J62</f>
        <v>15995700</v>
      </c>
      <c r="K62" s="43">
        <v>1576100</v>
      </c>
      <c r="L62" s="21">
        <f t="shared" si="12"/>
        <v>17571800</v>
      </c>
      <c r="M62" s="16">
        <f t="shared" si="1"/>
        <v>0.87858999999999998</v>
      </c>
      <c r="N62" s="25">
        <f t="shared" si="3"/>
        <v>17571800</v>
      </c>
      <c r="O62" s="26">
        <f t="shared" si="23"/>
        <v>2428200</v>
      </c>
      <c r="P62" s="18">
        <f t="shared" si="17"/>
        <v>0.12141</v>
      </c>
      <c r="R62" s="37"/>
    </row>
    <row r="63" spans="1:18" ht="15" x14ac:dyDescent="0.25">
      <c r="A63" s="19" t="s">
        <v>105</v>
      </c>
      <c r="B63" s="33" t="s">
        <v>106</v>
      </c>
      <c r="C63" s="32">
        <v>19800000</v>
      </c>
      <c r="D63" s="22"/>
      <c r="E63" s="22"/>
      <c r="F63" s="23"/>
      <c r="G63" s="36"/>
      <c r="H63" s="63">
        <v>3000000</v>
      </c>
      <c r="I63" s="21">
        <f t="shared" si="22"/>
        <v>16800000</v>
      </c>
      <c r="J63" s="22">
        <f>OCTUBRE!I63+OCTUBRE!J63</f>
        <v>11998800</v>
      </c>
      <c r="K63" s="43">
        <v>1182300</v>
      </c>
      <c r="L63" s="21">
        <f t="shared" si="12"/>
        <v>13181100</v>
      </c>
      <c r="M63" s="16">
        <f t="shared" si="1"/>
        <v>0.78458928571428577</v>
      </c>
      <c r="N63" s="25">
        <f t="shared" si="3"/>
        <v>13181100</v>
      </c>
      <c r="O63" s="26">
        <f t="shared" si="23"/>
        <v>3618900</v>
      </c>
      <c r="P63" s="18">
        <f t="shared" si="17"/>
        <v>0.21541071428571429</v>
      </c>
      <c r="R63" s="37"/>
    </row>
    <row r="64" spans="1:18" ht="15" x14ac:dyDescent="0.25">
      <c r="A64" s="19" t="s">
        <v>107</v>
      </c>
      <c r="B64" s="33" t="s">
        <v>108</v>
      </c>
      <c r="C64" s="32">
        <v>3000000</v>
      </c>
      <c r="D64" s="22"/>
      <c r="E64" s="22"/>
      <c r="F64" s="23"/>
      <c r="G64" s="36"/>
      <c r="H64" s="63"/>
      <c r="I64" s="21">
        <f t="shared" si="22"/>
        <v>3000000</v>
      </c>
      <c r="J64" s="22">
        <f>OCTUBRE!I64+OCTUBRE!J64</f>
        <v>1984600</v>
      </c>
      <c r="K64" s="43">
        <v>197500</v>
      </c>
      <c r="L64" s="21">
        <f t="shared" si="12"/>
        <v>2182100</v>
      </c>
      <c r="M64" s="16">
        <f t="shared" si="1"/>
        <v>0.72736666666666672</v>
      </c>
      <c r="N64" s="25">
        <f t="shared" si="3"/>
        <v>2182100</v>
      </c>
      <c r="O64" s="26">
        <f t="shared" si="23"/>
        <v>817900</v>
      </c>
      <c r="P64" s="18">
        <f t="shared" si="17"/>
        <v>0.27263333333333334</v>
      </c>
      <c r="R64" s="37"/>
    </row>
    <row r="65" spans="1:18" ht="15" x14ac:dyDescent="0.25">
      <c r="A65" s="19" t="s">
        <v>109</v>
      </c>
      <c r="B65" s="33" t="s">
        <v>110</v>
      </c>
      <c r="C65" s="32">
        <v>3000000</v>
      </c>
      <c r="D65" s="22"/>
      <c r="E65" s="22"/>
      <c r="F65" s="23"/>
      <c r="G65" s="36"/>
      <c r="H65" s="63"/>
      <c r="I65" s="21">
        <f t="shared" si="22"/>
        <v>3000000</v>
      </c>
      <c r="J65" s="22">
        <f>OCTUBRE!I65+OCTUBRE!J65</f>
        <v>2004000</v>
      </c>
      <c r="K65" s="43">
        <v>197500</v>
      </c>
      <c r="L65" s="21">
        <f t="shared" si="12"/>
        <v>2201500</v>
      </c>
      <c r="M65" s="16">
        <f t="shared" si="1"/>
        <v>0.73383333333333334</v>
      </c>
      <c r="N65" s="25">
        <f t="shared" si="3"/>
        <v>2201500</v>
      </c>
      <c r="O65" s="26">
        <f t="shared" si="23"/>
        <v>798500</v>
      </c>
      <c r="P65" s="18">
        <f t="shared" si="17"/>
        <v>0.26616666666666666</v>
      </c>
      <c r="R65" s="37"/>
    </row>
    <row r="66" spans="1:18" ht="15" x14ac:dyDescent="0.25">
      <c r="A66" s="19" t="s">
        <v>111</v>
      </c>
      <c r="B66" s="33" t="s">
        <v>112</v>
      </c>
      <c r="C66" s="32">
        <v>6000000</v>
      </c>
      <c r="D66" s="22"/>
      <c r="E66" s="22"/>
      <c r="F66" s="23"/>
      <c r="G66" s="36"/>
      <c r="H66" s="63">
        <v>1000000</v>
      </c>
      <c r="I66" s="21">
        <f t="shared" si="22"/>
        <v>5000000</v>
      </c>
      <c r="J66" s="22">
        <f>OCTUBRE!I66+OCTUBRE!J66</f>
        <v>3963800</v>
      </c>
      <c r="K66" s="43">
        <v>394500</v>
      </c>
      <c r="L66" s="21">
        <f t="shared" si="12"/>
        <v>4358300</v>
      </c>
      <c r="M66" s="16">
        <f t="shared" si="1"/>
        <v>0.87165999999999999</v>
      </c>
      <c r="N66" s="25">
        <f>K66+J66</f>
        <v>4358300</v>
      </c>
      <c r="O66" s="26">
        <f t="shared" si="23"/>
        <v>641700</v>
      </c>
      <c r="P66" s="18">
        <f t="shared" si="17"/>
        <v>0.12834000000000001</v>
      </c>
      <c r="R66" s="37"/>
    </row>
    <row r="67" spans="1:18" ht="15" x14ac:dyDescent="0.25">
      <c r="A67" s="19" t="s">
        <v>113</v>
      </c>
      <c r="B67" s="33" t="s">
        <v>114</v>
      </c>
      <c r="C67" s="32"/>
      <c r="D67" s="22"/>
      <c r="E67" s="22"/>
      <c r="F67" s="23"/>
      <c r="G67" s="36"/>
      <c r="H67" s="63"/>
      <c r="I67" s="21">
        <f t="shared" si="22"/>
        <v>0</v>
      </c>
      <c r="J67" s="22">
        <f>OCTUBRE!I67+OCTUBRE!J67</f>
        <v>0</v>
      </c>
      <c r="K67" s="22">
        <v>0</v>
      </c>
      <c r="L67" s="21">
        <f t="shared" si="12"/>
        <v>0</v>
      </c>
      <c r="M67" s="16">
        <v>0</v>
      </c>
      <c r="N67" s="17">
        <f t="shared" si="3"/>
        <v>0</v>
      </c>
      <c r="O67" s="26">
        <f t="shared" si="23"/>
        <v>0</v>
      </c>
      <c r="P67" s="18">
        <v>0</v>
      </c>
      <c r="R67" s="37"/>
    </row>
    <row r="68" spans="1:18" ht="27" customHeight="1" x14ac:dyDescent="0.2">
      <c r="A68" s="180">
        <v>20201203</v>
      </c>
      <c r="B68" s="66" t="s">
        <v>123</v>
      </c>
      <c r="C68" s="73">
        <f>C69</f>
        <v>0</v>
      </c>
      <c r="D68" s="74">
        <f t="shared" ref="D68:H68" si="24">D69</f>
        <v>0</v>
      </c>
      <c r="E68" s="74"/>
      <c r="F68" s="74">
        <f>F69+F70</f>
        <v>50000000</v>
      </c>
      <c r="G68" s="68">
        <f t="shared" si="24"/>
        <v>0</v>
      </c>
      <c r="H68" s="74">
        <f t="shared" si="24"/>
        <v>0</v>
      </c>
      <c r="I68" s="68">
        <f>SUM(I69:I70)</f>
        <v>50000000</v>
      </c>
      <c r="J68" s="68">
        <f>SUM(J69:J70)</f>
        <v>30000000</v>
      </c>
      <c r="K68" s="68">
        <f>SUM(K69:K70)</f>
        <v>0</v>
      </c>
      <c r="L68" s="68">
        <f>SUM(L69:L70)</f>
        <v>30000000</v>
      </c>
      <c r="M68" s="69">
        <f t="shared" ref="M68" si="25">M69</f>
        <v>0</v>
      </c>
      <c r="N68" s="75">
        <f>SUM(N69:N70)</f>
        <v>30000000</v>
      </c>
      <c r="O68" s="75">
        <f>SUM(O69:O70)</f>
        <v>20000000</v>
      </c>
      <c r="P68" s="71">
        <f t="shared" si="17"/>
        <v>0.4</v>
      </c>
      <c r="R68" s="37"/>
    </row>
    <row r="69" spans="1:18" ht="15" x14ac:dyDescent="0.25">
      <c r="A69" s="181">
        <v>2020130101</v>
      </c>
      <c r="B69" s="173" t="s">
        <v>124</v>
      </c>
      <c r="C69" s="174">
        <v>0</v>
      </c>
      <c r="D69" s="175">
        <v>0</v>
      </c>
      <c r="E69" s="175"/>
      <c r="F69" s="176">
        <v>0</v>
      </c>
      <c r="G69" s="177"/>
      <c r="H69" s="178"/>
      <c r="I69" s="21">
        <f t="shared" si="22"/>
        <v>0</v>
      </c>
      <c r="J69" s="175">
        <v>0</v>
      </c>
      <c r="K69" s="175">
        <v>0</v>
      </c>
      <c r="L69" s="179">
        <v>0</v>
      </c>
      <c r="M69" s="16">
        <v>0</v>
      </c>
      <c r="N69" s="25">
        <f t="shared" si="3"/>
        <v>0</v>
      </c>
      <c r="O69" s="26">
        <f t="shared" si="23"/>
        <v>0</v>
      </c>
      <c r="P69" s="18">
        <v>0</v>
      </c>
      <c r="R69" s="37"/>
    </row>
    <row r="70" spans="1:18" ht="15" x14ac:dyDescent="0.25">
      <c r="A70" s="181">
        <v>45</v>
      </c>
      <c r="B70" s="173" t="s">
        <v>124</v>
      </c>
      <c r="C70" s="174">
        <v>0</v>
      </c>
      <c r="D70" s="175">
        <v>0</v>
      </c>
      <c r="E70" s="175"/>
      <c r="F70" s="176">
        <v>50000000</v>
      </c>
      <c r="G70" s="177">
        <v>0</v>
      </c>
      <c r="H70" s="178">
        <v>0</v>
      </c>
      <c r="I70" s="21">
        <f t="shared" si="22"/>
        <v>50000000</v>
      </c>
      <c r="J70" s="175">
        <f>SEPTIEMBRE!I70+SEPTIEMBRE!J70</f>
        <v>30000000</v>
      </c>
      <c r="K70" s="175">
        <v>0</v>
      </c>
      <c r="L70" s="179">
        <f>J70+K70</f>
        <v>30000000</v>
      </c>
      <c r="M70" s="16">
        <f t="shared" si="1"/>
        <v>0.6</v>
      </c>
      <c r="N70" s="25">
        <f t="shared" si="3"/>
        <v>30000000</v>
      </c>
      <c r="O70" s="26">
        <f t="shared" si="23"/>
        <v>20000000</v>
      </c>
      <c r="P70" s="18">
        <f t="shared" si="17"/>
        <v>0.4</v>
      </c>
      <c r="R70" s="37"/>
    </row>
    <row r="71" spans="1:18" s="80" customFormat="1" ht="31.5" customHeight="1" thickBot="1" x14ac:dyDescent="0.25">
      <c r="A71" s="81"/>
      <c r="B71" s="166" t="s">
        <v>115</v>
      </c>
      <c r="C71" s="171">
        <f>C57+C52+C32+C19+C24+C8</f>
        <v>1030155044</v>
      </c>
      <c r="D71" s="167">
        <f t="shared" ref="D71:K71" si="26">D8+D19+D24+D32+D52+D57+D68</f>
        <v>46000000</v>
      </c>
      <c r="E71" s="167">
        <f t="shared" si="26"/>
        <v>46000000</v>
      </c>
      <c r="F71" s="167">
        <f t="shared" si="26"/>
        <v>143076544</v>
      </c>
      <c r="G71" s="167">
        <f t="shared" si="26"/>
        <v>103153561</v>
      </c>
      <c r="H71" s="167">
        <f t="shared" si="26"/>
        <v>103153561</v>
      </c>
      <c r="I71" s="167">
        <f t="shared" si="26"/>
        <v>1173231588</v>
      </c>
      <c r="J71" s="167">
        <f t="shared" si="26"/>
        <v>855145600.97776079</v>
      </c>
      <c r="K71" s="167">
        <f t="shared" si="26"/>
        <v>92186014</v>
      </c>
      <c r="L71" s="167">
        <f>L57+L52+L32+L24+L19+L8+L68</f>
        <v>947623121.97776079</v>
      </c>
      <c r="M71" s="168">
        <f t="shared" si="1"/>
        <v>0.80770338240991923</v>
      </c>
      <c r="N71" s="167">
        <f>N8+N19+N24+N32+N52+N57+N68</f>
        <v>947331614.97776079</v>
      </c>
      <c r="O71" s="167">
        <f>O8+O19+O24+O32+O52+O57+O68</f>
        <v>225608466.02223915</v>
      </c>
      <c r="P71" s="170">
        <f t="shared" si="17"/>
        <v>0.19229661759008074</v>
      </c>
      <c r="Q71" s="80">
        <f>103153561+36870251</f>
        <v>140023812</v>
      </c>
    </row>
    <row r="72" spans="1:18" ht="35.25" customHeight="1" thickBot="1" x14ac:dyDescent="0.3">
      <c r="A72" s="165" t="s">
        <v>118</v>
      </c>
      <c r="B72" s="192" t="s">
        <v>119</v>
      </c>
      <c r="C72" s="193"/>
      <c r="D72" s="193"/>
      <c r="E72" s="193"/>
      <c r="F72" s="193"/>
      <c r="G72" s="193"/>
      <c r="H72" s="193"/>
      <c r="I72" s="193"/>
      <c r="J72" s="193"/>
      <c r="K72" s="193"/>
      <c r="L72" s="193"/>
      <c r="M72" s="193"/>
      <c r="N72" s="193"/>
      <c r="O72" s="193"/>
      <c r="P72" s="194"/>
      <c r="R72" s="40"/>
    </row>
    <row r="73" spans="1:18" x14ac:dyDescent="0.2">
      <c r="L73" s="40"/>
    </row>
    <row r="74" spans="1:18" x14ac:dyDescent="0.2">
      <c r="D74" s="40"/>
      <c r="E74" s="40"/>
      <c r="F74" s="40"/>
      <c r="G74" s="40">
        <v>36870827</v>
      </c>
      <c r="H74" s="40"/>
      <c r="L74" s="40"/>
      <c r="O74" s="40"/>
    </row>
    <row r="75" spans="1:18" x14ac:dyDescent="0.2">
      <c r="G75" s="40"/>
      <c r="H75" s="40"/>
      <c r="J75" s="40"/>
      <c r="K75" s="42"/>
      <c r="O75" s="40"/>
    </row>
    <row r="76" spans="1:18" x14ac:dyDescent="0.2">
      <c r="D76" s="40"/>
      <c r="E76" s="40"/>
      <c r="G76" s="40">
        <f>G71+G74</f>
        <v>140024388</v>
      </c>
      <c r="K76" s="40"/>
      <c r="M76" s="40"/>
      <c r="O76" s="40"/>
    </row>
    <row r="77" spans="1:18" x14ac:dyDescent="0.2">
      <c r="H77" s="40"/>
      <c r="I77" s="40"/>
      <c r="K77" s="40"/>
      <c r="M77" s="40"/>
      <c r="O77" s="40"/>
    </row>
    <row r="78" spans="1:18" x14ac:dyDescent="0.2">
      <c r="K78" s="40"/>
    </row>
  </sheetData>
  <mergeCells count="6">
    <mergeCell ref="B72:P72"/>
    <mergeCell ref="A1:P1"/>
    <mergeCell ref="A2:P2"/>
    <mergeCell ref="A3:P3"/>
    <mergeCell ref="D5:D6"/>
    <mergeCell ref="M5:M6"/>
  </mergeCells>
  <printOptions horizontalCentered="1" verticalCentered="1"/>
  <pageMargins left="0.23622047244094491" right="0.23622047244094491" top="0.39370078740157483" bottom="0.98425196850393704" header="0" footer="0"/>
  <pageSetup paperSize="14" scale="42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8"/>
  <sheetViews>
    <sheetView showGridLines="0" zoomScale="90" zoomScaleNormal="90" zoomScaleSheetLayoutView="80" workbookViewId="0">
      <pane xSplit="2" ySplit="7" topLeftCell="D41" activePane="bottomRight" state="frozen"/>
      <selection pane="topRight" activeCell="C1" sqref="C1"/>
      <selection pane="bottomLeft" activeCell="A8" sqref="A8"/>
      <selection pane="bottomRight" activeCell="J55" sqref="J55"/>
    </sheetView>
  </sheetViews>
  <sheetFormatPr baseColWidth="10" defaultRowHeight="14.25" x14ac:dyDescent="0.2"/>
  <cols>
    <col min="1" max="1" width="16" style="1" customWidth="1"/>
    <col min="2" max="2" width="49.625" style="1" customWidth="1"/>
    <col min="3" max="3" width="21.625" style="1" customWidth="1"/>
    <col min="4" max="4" width="16.125" style="1" customWidth="1"/>
    <col min="5" max="7" width="14.625" style="1" customWidth="1"/>
    <col min="8" max="8" width="17.875" style="1" bestFit="1" customWidth="1"/>
    <col min="9" max="9" width="20.625" style="1" bestFit="1" customWidth="1"/>
    <col min="10" max="10" width="15" style="1" bestFit="1" customWidth="1"/>
    <col min="11" max="11" width="16" style="1" customWidth="1"/>
    <col min="12" max="12" width="6" style="1" bestFit="1" customWidth="1"/>
    <col min="13" max="13" width="17.375" style="41" hidden="1" customWidth="1"/>
    <col min="14" max="14" width="16.25" style="1" bestFit="1" customWidth="1"/>
    <col min="15" max="15" width="8.5" style="1" customWidth="1"/>
    <col min="16" max="16" width="11" style="1"/>
    <col min="17" max="17" width="10.125" style="1" bestFit="1" customWidth="1"/>
    <col min="18" max="256" width="11" style="1"/>
    <col min="257" max="257" width="16" style="1" customWidth="1"/>
    <col min="258" max="258" width="49.625" style="1" customWidth="1"/>
    <col min="259" max="259" width="15.25" style="1" customWidth="1"/>
    <col min="260" max="266" width="14.625" style="1" customWidth="1"/>
    <col min="267" max="267" width="0" style="1" hidden="1" customWidth="1"/>
    <col min="268" max="268" width="7.875" style="1" customWidth="1"/>
    <col min="269" max="269" width="17.375" style="1" customWidth="1"/>
    <col min="270" max="270" width="14.625" style="1" customWidth="1"/>
    <col min="271" max="271" width="8.5" style="1" customWidth="1"/>
    <col min="272" max="272" width="11" style="1"/>
    <col min="273" max="273" width="10.125" style="1" bestFit="1" customWidth="1"/>
    <col min="274" max="512" width="11" style="1"/>
    <col min="513" max="513" width="16" style="1" customWidth="1"/>
    <col min="514" max="514" width="49.625" style="1" customWidth="1"/>
    <col min="515" max="515" width="15.25" style="1" customWidth="1"/>
    <col min="516" max="522" width="14.625" style="1" customWidth="1"/>
    <col min="523" max="523" width="0" style="1" hidden="1" customWidth="1"/>
    <col min="524" max="524" width="7.875" style="1" customWidth="1"/>
    <col min="525" max="525" width="17.375" style="1" customWidth="1"/>
    <col min="526" max="526" width="14.625" style="1" customWidth="1"/>
    <col min="527" max="527" width="8.5" style="1" customWidth="1"/>
    <col min="528" max="528" width="11" style="1"/>
    <col min="529" max="529" width="10.125" style="1" bestFit="1" customWidth="1"/>
    <col min="530" max="768" width="11" style="1"/>
    <col min="769" max="769" width="16" style="1" customWidth="1"/>
    <col min="770" max="770" width="49.625" style="1" customWidth="1"/>
    <col min="771" max="771" width="15.25" style="1" customWidth="1"/>
    <col min="772" max="778" width="14.625" style="1" customWidth="1"/>
    <col min="779" max="779" width="0" style="1" hidden="1" customWidth="1"/>
    <col min="780" max="780" width="7.875" style="1" customWidth="1"/>
    <col min="781" max="781" width="17.375" style="1" customWidth="1"/>
    <col min="782" max="782" width="14.625" style="1" customWidth="1"/>
    <col min="783" max="783" width="8.5" style="1" customWidth="1"/>
    <col min="784" max="784" width="11" style="1"/>
    <col min="785" max="785" width="10.125" style="1" bestFit="1" customWidth="1"/>
    <col min="786" max="1024" width="11" style="1"/>
    <col min="1025" max="1025" width="16" style="1" customWidth="1"/>
    <col min="1026" max="1026" width="49.625" style="1" customWidth="1"/>
    <col min="1027" max="1027" width="15.25" style="1" customWidth="1"/>
    <col min="1028" max="1034" width="14.625" style="1" customWidth="1"/>
    <col min="1035" max="1035" width="0" style="1" hidden="1" customWidth="1"/>
    <col min="1036" max="1036" width="7.875" style="1" customWidth="1"/>
    <col min="1037" max="1037" width="17.375" style="1" customWidth="1"/>
    <col min="1038" max="1038" width="14.625" style="1" customWidth="1"/>
    <col min="1039" max="1039" width="8.5" style="1" customWidth="1"/>
    <col min="1040" max="1040" width="11" style="1"/>
    <col min="1041" max="1041" width="10.125" style="1" bestFit="1" customWidth="1"/>
    <col min="1042" max="1280" width="11" style="1"/>
    <col min="1281" max="1281" width="16" style="1" customWidth="1"/>
    <col min="1282" max="1282" width="49.625" style="1" customWidth="1"/>
    <col min="1283" max="1283" width="15.25" style="1" customWidth="1"/>
    <col min="1284" max="1290" width="14.625" style="1" customWidth="1"/>
    <col min="1291" max="1291" width="0" style="1" hidden="1" customWidth="1"/>
    <col min="1292" max="1292" width="7.875" style="1" customWidth="1"/>
    <col min="1293" max="1293" width="17.375" style="1" customWidth="1"/>
    <col min="1294" max="1294" width="14.625" style="1" customWidth="1"/>
    <col min="1295" max="1295" width="8.5" style="1" customWidth="1"/>
    <col min="1296" max="1296" width="11" style="1"/>
    <col min="1297" max="1297" width="10.125" style="1" bestFit="1" customWidth="1"/>
    <col min="1298" max="1536" width="11" style="1"/>
    <col min="1537" max="1537" width="16" style="1" customWidth="1"/>
    <col min="1538" max="1538" width="49.625" style="1" customWidth="1"/>
    <col min="1539" max="1539" width="15.25" style="1" customWidth="1"/>
    <col min="1540" max="1546" width="14.625" style="1" customWidth="1"/>
    <col min="1547" max="1547" width="0" style="1" hidden="1" customWidth="1"/>
    <col min="1548" max="1548" width="7.875" style="1" customWidth="1"/>
    <col min="1549" max="1549" width="17.375" style="1" customWidth="1"/>
    <col min="1550" max="1550" width="14.625" style="1" customWidth="1"/>
    <col min="1551" max="1551" width="8.5" style="1" customWidth="1"/>
    <col min="1552" max="1552" width="11" style="1"/>
    <col min="1553" max="1553" width="10.125" style="1" bestFit="1" customWidth="1"/>
    <col min="1554" max="1792" width="11" style="1"/>
    <col min="1793" max="1793" width="16" style="1" customWidth="1"/>
    <col min="1794" max="1794" width="49.625" style="1" customWidth="1"/>
    <col min="1795" max="1795" width="15.25" style="1" customWidth="1"/>
    <col min="1796" max="1802" width="14.625" style="1" customWidth="1"/>
    <col min="1803" max="1803" width="0" style="1" hidden="1" customWidth="1"/>
    <col min="1804" max="1804" width="7.875" style="1" customWidth="1"/>
    <col min="1805" max="1805" width="17.375" style="1" customWidth="1"/>
    <col min="1806" max="1806" width="14.625" style="1" customWidth="1"/>
    <col min="1807" max="1807" width="8.5" style="1" customWidth="1"/>
    <col min="1808" max="1808" width="11" style="1"/>
    <col min="1809" max="1809" width="10.125" style="1" bestFit="1" customWidth="1"/>
    <col min="1810" max="2048" width="11" style="1"/>
    <col min="2049" max="2049" width="16" style="1" customWidth="1"/>
    <col min="2050" max="2050" width="49.625" style="1" customWidth="1"/>
    <col min="2051" max="2051" width="15.25" style="1" customWidth="1"/>
    <col min="2052" max="2058" width="14.625" style="1" customWidth="1"/>
    <col min="2059" max="2059" width="0" style="1" hidden="1" customWidth="1"/>
    <col min="2060" max="2060" width="7.875" style="1" customWidth="1"/>
    <col min="2061" max="2061" width="17.375" style="1" customWidth="1"/>
    <col min="2062" max="2062" width="14.625" style="1" customWidth="1"/>
    <col min="2063" max="2063" width="8.5" style="1" customWidth="1"/>
    <col min="2064" max="2064" width="11" style="1"/>
    <col min="2065" max="2065" width="10.125" style="1" bestFit="1" customWidth="1"/>
    <col min="2066" max="2304" width="11" style="1"/>
    <col min="2305" max="2305" width="16" style="1" customWidth="1"/>
    <col min="2306" max="2306" width="49.625" style="1" customWidth="1"/>
    <col min="2307" max="2307" width="15.25" style="1" customWidth="1"/>
    <col min="2308" max="2314" width="14.625" style="1" customWidth="1"/>
    <col min="2315" max="2315" width="0" style="1" hidden="1" customWidth="1"/>
    <col min="2316" max="2316" width="7.875" style="1" customWidth="1"/>
    <col min="2317" max="2317" width="17.375" style="1" customWidth="1"/>
    <col min="2318" max="2318" width="14.625" style="1" customWidth="1"/>
    <col min="2319" max="2319" width="8.5" style="1" customWidth="1"/>
    <col min="2320" max="2320" width="11" style="1"/>
    <col min="2321" max="2321" width="10.125" style="1" bestFit="1" customWidth="1"/>
    <col min="2322" max="2560" width="11" style="1"/>
    <col min="2561" max="2561" width="16" style="1" customWidth="1"/>
    <col min="2562" max="2562" width="49.625" style="1" customWidth="1"/>
    <col min="2563" max="2563" width="15.25" style="1" customWidth="1"/>
    <col min="2564" max="2570" width="14.625" style="1" customWidth="1"/>
    <col min="2571" max="2571" width="0" style="1" hidden="1" customWidth="1"/>
    <col min="2572" max="2572" width="7.875" style="1" customWidth="1"/>
    <col min="2573" max="2573" width="17.375" style="1" customWidth="1"/>
    <col min="2574" max="2574" width="14.625" style="1" customWidth="1"/>
    <col min="2575" max="2575" width="8.5" style="1" customWidth="1"/>
    <col min="2576" max="2576" width="11" style="1"/>
    <col min="2577" max="2577" width="10.125" style="1" bestFit="1" customWidth="1"/>
    <col min="2578" max="2816" width="11" style="1"/>
    <col min="2817" max="2817" width="16" style="1" customWidth="1"/>
    <col min="2818" max="2818" width="49.625" style="1" customWidth="1"/>
    <col min="2819" max="2819" width="15.25" style="1" customWidth="1"/>
    <col min="2820" max="2826" width="14.625" style="1" customWidth="1"/>
    <col min="2827" max="2827" width="0" style="1" hidden="1" customWidth="1"/>
    <col min="2828" max="2828" width="7.875" style="1" customWidth="1"/>
    <col min="2829" max="2829" width="17.375" style="1" customWidth="1"/>
    <col min="2830" max="2830" width="14.625" style="1" customWidth="1"/>
    <col min="2831" max="2831" width="8.5" style="1" customWidth="1"/>
    <col min="2832" max="2832" width="11" style="1"/>
    <col min="2833" max="2833" width="10.125" style="1" bestFit="1" customWidth="1"/>
    <col min="2834" max="3072" width="11" style="1"/>
    <col min="3073" max="3073" width="16" style="1" customWidth="1"/>
    <col min="3074" max="3074" width="49.625" style="1" customWidth="1"/>
    <col min="3075" max="3075" width="15.25" style="1" customWidth="1"/>
    <col min="3076" max="3082" width="14.625" style="1" customWidth="1"/>
    <col min="3083" max="3083" width="0" style="1" hidden="1" customWidth="1"/>
    <col min="3084" max="3084" width="7.875" style="1" customWidth="1"/>
    <col min="3085" max="3085" width="17.375" style="1" customWidth="1"/>
    <col min="3086" max="3086" width="14.625" style="1" customWidth="1"/>
    <col min="3087" max="3087" width="8.5" style="1" customWidth="1"/>
    <col min="3088" max="3088" width="11" style="1"/>
    <col min="3089" max="3089" width="10.125" style="1" bestFit="1" customWidth="1"/>
    <col min="3090" max="3328" width="11" style="1"/>
    <col min="3329" max="3329" width="16" style="1" customWidth="1"/>
    <col min="3330" max="3330" width="49.625" style="1" customWidth="1"/>
    <col min="3331" max="3331" width="15.25" style="1" customWidth="1"/>
    <col min="3332" max="3338" width="14.625" style="1" customWidth="1"/>
    <col min="3339" max="3339" width="0" style="1" hidden="1" customWidth="1"/>
    <col min="3340" max="3340" width="7.875" style="1" customWidth="1"/>
    <col min="3341" max="3341" width="17.375" style="1" customWidth="1"/>
    <col min="3342" max="3342" width="14.625" style="1" customWidth="1"/>
    <col min="3343" max="3343" width="8.5" style="1" customWidth="1"/>
    <col min="3344" max="3344" width="11" style="1"/>
    <col min="3345" max="3345" width="10.125" style="1" bestFit="1" customWidth="1"/>
    <col min="3346" max="3584" width="11" style="1"/>
    <col min="3585" max="3585" width="16" style="1" customWidth="1"/>
    <col min="3586" max="3586" width="49.625" style="1" customWidth="1"/>
    <col min="3587" max="3587" width="15.25" style="1" customWidth="1"/>
    <col min="3588" max="3594" width="14.625" style="1" customWidth="1"/>
    <col min="3595" max="3595" width="0" style="1" hidden="1" customWidth="1"/>
    <col min="3596" max="3596" width="7.875" style="1" customWidth="1"/>
    <col min="3597" max="3597" width="17.375" style="1" customWidth="1"/>
    <col min="3598" max="3598" width="14.625" style="1" customWidth="1"/>
    <col min="3599" max="3599" width="8.5" style="1" customWidth="1"/>
    <col min="3600" max="3600" width="11" style="1"/>
    <col min="3601" max="3601" width="10.125" style="1" bestFit="1" customWidth="1"/>
    <col min="3602" max="3840" width="11" style="1"/>
    <col min="3841" max="3841" width="16" style="1" customWidth="1"/>
    <col min="3842" max="3842" width="49.625" style="1" customWidth="1"/>
    <col min="3843" max="3843" width="15.25" style="1" customWidth="1"/>
    <col min="3844" max="3850" width="14.625" style="1" customWidth="1"/>
    <col min="3851" max="3851" width="0" style="1" hidden="1" customWidth="1"/>
    <col min="3852" max="3852" width="7.875" style="1" customWidth="1"/>
    <col min="3853" max="3853" width="17.375" style="1" customWidth="1"/>
    <col min="3854" max="3854" width="14.625" style="1" customWidth="1"/>
    <col min="3855" max="3855" width="8.5" style="1" customWidth="1"/>
    <col min="3856" max="3856" width="11" style="1"/>
    <col min="3857" max="3857" width="10.125" style="1" bestFit="1" customWidth="1"/>
    <col min="3858" max="4096" width="11" style="1"/>
    <col min="4097" max="4097" width="16" style="1" customWidth="1"/>
    <col min="4098" max="4098" width="49.625" style="1" customWidth="1"/>
    <col min="4099" max="4099" width="15.25" style="1" customWidth="1"/>
    <col min="4100" max="4106" width="14.625" style="1" customWidth="1"/>
    <col min="4107" max="4107" width="0" style="1" hidden="1" customWidth="1"/>
    <col min="4108" max="4108" width="7.875" style="1" customWidth="1"/>
    <col min="4109" max="4109" width="17.375" style="1" customWidth="1"/>
    <col min="4110" max="4110" width="14.625" style="1" customWidth="1"/>
    <col min="4111" max="4111" width="8.5" style="1" customWidth="1"/>
    <col min="4112" max="4112" width="11" style="1"/>
    <col min="4113" max="4113" width="10.125" style="1" bestFit="1" customWidth="1"/>
    <col min="4114" max="4352" width="11" style="1"/>
    <col min="4353" max="4353" width="16" style="1" customWidth="1"/>
    <col min="4354" max="4354" width="49.625" style="1" customWidth="1"/>
    <col min="4355" max="4355" width="15.25" style="1" customWidth="1"/>
    <col min="4356" max="4362" width="14.625" style="1" customWidth="1"/>
    <col min="4363" max="4363" width="0" style="1" hidden="1" customWidth="1"/>
    <col min="4364" max="4364" width="7.875" style="1" customWidth="1"/>
    <col min="4365" max="4365" width="17.375" style="1" customWidth="1"/>
    <col min="4366" max="4366" width="14.625" style="1" customWidth="1"/>
    <col min="4367" max="4367" width="8.5" style="1" customWidth="1"/>
    <col min="4368" max="4368" width="11" style="1"/>
    <col min="4369" max="4369" width="10.125" style="1" bestFit="1" customWidth="1"/>
    <col min="4370" max="4608" width="11" style="1"/>
    <col min="4609" max="4609" width="16" style="1" customWidth="1"/>
    <col min="4610" max="4610" width="49.625" style="1" customWidth="1"/>
    <col min="4611" max="4611" width="15.25" style="1" customWidth="1"/>
    <col min="4612" max="4618" width="14.625" style="1" customWidth="1"/>
    <col min="4619" max="4619" width="0" style="1" hidden="1" customWidth="1"/>
    <col min="4620" max="4620" width="7.875" style="1" customWidth="1"/>
    <col min="4621" max="4621" width="17.375" style="1" customWidth="1"/>
    <col min="4622" max="4622" width="14.625" style="1" customWidth="1"/>
    <col min="4623" max="4623" width="8.5" style="1" customWidth="1"/>
    <col min="4624" max="4624" width="11" style="1"/>
    <col min="4625" max="4625" width="10.125" style="1" bestFit="1" customWidth="1"/>
    <col min="4626" max="4864" width="11" style="1"/>
    <col min="4865" max="4865" width="16" style="1" customWidth="1"/>
    <col min="4866" max="4866" width="49.625" style="1" customWidth="1"/>
    <col min="4867" max="4867" width="15.25" style="1" customWidth="1"/>
    <col min="4868" max="4874" width="14.625" style="1" customWidth="1"/>
    <col min="4875" max="4875" width="0" style="1" hidden="1" customWidth="1"/>
    <col min="4876" max="4876" width="7.875" style="1" customWidth="1"/>
    <col min="4877" max="4877" width="17.375" style="1" customWidth="1"/>
    <col min="4878" max="4878" width="14.625" style="1" customWidth="1"/>
    <col min="4879" max="4879" width="8.5" style="1" customWidth="1"/>
    <col min="4880" max="4880" width="11" style="1"/>
    <col min="4881" max="4881" width="10.125" style="1" bestFit="1" customWidth="1"/>
    <col min="4882" max="5120" width="11" style="1"/>
    <col min="5121" max="5121" width="16" style="1" customWidth="1"/>
    <col min="5122" max="5122" width="49.625" style="1" customWidth="1"/>
    <col min="5123" max="5123" width="15.25" style="1" customWidth="1"/>
    <col min="5124" max="5130" width="14.625" style="1" customWidth="1"/>
    <col min="5131" max="5131" width="0" style="1" hidden="1" customWidth="1"/>
    <col min="5132" max="5132" width="7.875" style="1" customWidth="1"/>
    <col min="5133" max="5133" width="17.375" style="1" customWidth="1"/>
    <col min="5134" max="5134" width="14.625" style="1" customWidth="1"/>
    <col min="5135" max="5135" width="8.5" style="1" customWidth="1"/>
    <col min="5136" max="5136" width="11" style="1"/>
    <col min="5137" max="5137" width="10.125" style="1" bestFit="1" customWidth="1"/>
    <col min="5138" max="5376" width="11" style="1"/>
    <col min="5377" max="5377" width="16" style="1" customWidth="1"/>
    <col min="5378" max="5378" width="49.625" style="1" customWidth="1"/>
    <col min="5379" max="5379" width="15.25" style="1" customWidth="1"/>
    <col min="5380" max="5386" width="14.625" style="1" customWidth="1"/>
    <col min="5387" max="5387" width="0" style="1" hidden="1" customWidth="1"/>
    <col min="5388" max="5388" width="7.875" style="1" customWidth="1"/>
    <col min="5389" max="5389" width="17.375" style="1" customWidth="1"/>
    <col min="5390" max="5390" width="14.625" style="1" customWidth="1"/>
    <col min="5391" max="5391" width="8.5" style="1" customWidth="1"/>
    <col min="5392" max="5392" width="11" style="1"/>
    <col min="5393" max="5393" width="10.125" style="1" bestFit="1" customWidth="1"/>
    <col min="5394" max="5632" width="11" style="1"/>
    <col min="5633" max="5633" width="16" style="1" customWidth="1"/>
    <col min="5634" max="5634" width="49.625" style="1" customWidth="1"/>
    <col min="5635" max="5635" width="15.25" style="1" customWidth="1"/>
    <col min="5636" max="5642" width="14.625" style="1" customWidth="1"/>
    <col min="5643" max="5643" width="0" style="1" hidden="1" customWidth="1"/>
    <col min="5644" max="5644" width="7.875" style="1" customWidth="1"/>
    <col min="5645" max="5645" width="17.375" style="1" customWidth="1"/>
    <col min="5646" max="5646" width="14.625" style="1" customWidth="1"/>
    <col min="5647" max="5647" width="8.5" style="1" customWidth="1"/>
    <col min="5648" max="5648" width="11" style="1"/>
    <col min="5649" max="5649" width="10.125" style="1" bestFit="1" customWidth="1"/>
    <col min="5650" max="5888" width="11" style="1"/>
    <col min="5889" max="5889" width="16" style="1" customWidth="1"/>
    <col min="5890" max="5890" width="49.625" style="1" customWidth="1"/>
    <col min="5891" max="5891" width="15.25" style="1" customWidth="1"/>
    <col min="5892" max="5898" width="14.625" style="1" customWidth="1"/>
    <col min="5899" max="5899" width="0" style="1" hidden="1" customWidth="1"/>
    <col min="5900" max="5900" width="7.875" style="1" customWidth="1"/>
    <col min="5901" max="5901" width="17.375" style="1" customWidth="1"/>
    <col min="5902" max="5902" width="14.625" style="1" customWidth="1"/>
    <col min="5903" max="5903" width="8.5" style="1" customWidth="1"/>
    <col min="5904" max="5904" width="11" style="1"/>
    <col min="5905" max="5905" width="10.125" style="1" bestFit="1" customWidth="1"/>
    <col min="5906" max="6144" width="11" style="1"/>
    <col min="6145" max="6145" width="16" style="1" customWidth="1"/>
    <col min="6146" max="6146" width="49.625" style="1" customWidth="1"/>
    <col min="6147" max="6147" width="15.25" style="1" customWidth="1"/>
    <col min="6148" max="6154" width="14.625" style="1" customWidth="1"/>
    <col min="6155" max="6155" width="0" style="1" hidden="1" customWidth="1"/>
    <col min="6156" max="6156" width="7.875" style="1" customWidth="1"/>
    <col min="6157" max="6157" width="17.375" style="1" customWidth="1"/>
    <col min="6158" max="6158" width="14.625" style="1" customWidth="1"/>
    <col min="6159" max="6159" width="8.5" style="1" customWidth="1"/>
    <col min="6160" max="6160" width="11" style="1"/>
    <col min="6161" max="6161" width="10.125" style="1" bestFit="1" customWidth="1"/>
    <col min="6162" max="6400" width="11" style="1"/>
    <col min="6401" max="6401" width="16" style="1" customWidth="1"/>
    <col min="6402" max="6402" width="49.625" style="1" customWidth="1"/>
    <col min="6403" max="6403" width="15.25" style="1" customWidth="1"/>
    <col min="6404" max="6410" width="14.625" style="1" customWidth="1"/>
    <col min="6411" max="6411" width="0" style="1" hidden="1" customWidth="1"/>
    <col min="6412" max="6412" width="7.875" style="1" customWidth="1"/>
    <col min="6413" max="6413" width="17.375" style="1" customWidth="1"/>
    <col min="6414" max="6414" width="14.625" style="1" customWidth="1"/>
    <col min="6415" max="6415" width="8.5" style="1" customWidth="1"/>
    <col min="6416" max="6416" width="11" style="1"/>
    <col min="6417" max="6417" width="10.125" style="1" bestFit="1" customWidth="1"/>
    <col min="6418" max="6656" width="11" style="1"/>
    <col min="6657" max="6657" width="16" style="1" customWidth="1"/>
    <col min="6658" max="6658" width="49.625" style="1" customWidth="1"/>
    <col min="6659" max="6659" width="15.25" style="1" customWidth="1"/>
    <col min="6660" max="6666" width="14.625" style="1" customWidth="1"/>
    <col min="6667" max="6667" width="0" style="1" hidden="1" customWidth="1"/>
    <col min="6668" max="6668" width="7.875" style="1" customWidth="1"/>
    <col min="6669" max="6669" width="17.375" style="1" customWidth="1"/>
    <col min="6670" max="6670" width="14.625" style="1" customWidth="1"/>
    <col min="6671" max="6671" width="8.5" style="1" customWidth="1"/>
    <col min="6672" max="6672" width="11" style="1"/>
    <col min="6673" max="6673" width="10.125" style="1" bestFit="1" customWidth="1"/>
    <col min="6674" max="6912" width="11" style="1"/>
    <col min="6913" max="6913" width="16" style="1" customWidth="1"/>
    <col min="6914" max="6914" width="49.625" style="1" customWidth="1"/>
    <col min="6915" max="6915" width="15.25" style="1" customWidth="1"/>
    <col min="6916" max="6922" width="14.625" style="1" customWidth="1"/>
    <col min="6923" max="6923" width="0" style="1" hidden="1" customWidth="1"/>
    <col min="6924" max="6924" width="7.875" style="1" customWidth="1"/>
    <col min="6925" max="6925" width="17.375" style="1" customWidth="1"/>
    <col min="6926" max="6926" width="14.625" style="1" customWidth="1"/>
    <col min="6927" max="6927" width="8.5" style="1" customWidth="1"/>
    <col min="6928" max="6928" width="11" style="1"/>
    <col min="6929" max="6929" width="10.125" style="1" bestFit="1" customWidth="1"/>
    <col min="6930" max="7168" width="11" style="1"/>
    <col min="7169" max="7169" width="16" style="1" customWidth="1"/>
    <col min="7170" max="7170" width="49.625" style="1" customWidth="1"/>
    <col min="7171" max="7171" width="15.25" style="1" customWidth="1"/>
    <col min="7172" max="7178" width="14.625" style="1" customWidth="1"/>
    <col min="7179" max="7179" width="0" style="1" hidden="1" customWidth="1"/>
    <col min="7180" max="7180" width="7.875" style="1" customWidth="1"/>
    <col min="7181" max="7181" width="17.375" style="1" customWidth="1"/>
    <col min="7182" max="7182" width="14.625" style="1" customWidth="1"/>
    <col min="7183" max="7183" width="8.5" style="1" customWidth="1"/>
    <col min="7184" max="7184" width="11" style="1"/>
    <col min="7185" max="7185" width="10.125" style="1" bestFit="1" customWidth="1"/>
    <col min="7186" max="7424" width="11" style="1"/>
    <col min="7425" max="7425" width="16" style="1" customWidth="1"/>
    <col min="7426" max="7426" width="49.625" style="1" customWidth="1"/>
    <col min="7427" max="7427" width="15.25" style="1" customWidth="1"/>
    <col min="7428" max="7434" width="14.625" style="1" customWidth="1"/>
    <col min="7435" max="7435" width="0" style="1" hidden="1" customWidth="1"/>
    <col min="7436" max="7436" width="7.875" style="1" customWidth="1"/>
    <col min="7437" max="7437" width="17.375" style="1" customWidth="1"/>
    <col min="7438" max="7438" width="14.625" style="1" customWidth="1"/>
    <col min="7439" max="7439" width="8.5" style="1" customWidth="1"/>
    <col min="7440" max="7440" width="11" style="1"/>
    <col min="7441" max="7441" width="10.125" style="1" bestFit="1" customWidth="1"/>
    <col min="7442" max="7680" width="11" style="1"/>
    <col min="7681" max="7681" width="16" style="1" customWidth="1"/>
    <col min="7682" max="7682" width="49.625" style="1" customWidth="1"/>
    <col min="7683" max="7683" width="15.25" style="1" customWidth="1"/>
    <col min="7684" max="7690" width="14.625" style="1" customWidth="1"/>
    <col min="7691" max="7691" width="0" style="1" hidden="1" customWidth="1"/>
    <col min="7692" max="7692" width="7.875" style="1" customWidth="1"/>
    <col min="7693" max="7693" width="17.375" style="1" customWidth="1"/>
    <col min="7694" max="7694" width="14.625" style="1" customWidth="1"/>
    <col min="7695" max="7695" width="8.5" style="1" customWidth="1"/>
    <col min="7696" max="7696" width="11" style="1"/>
    <col min="7697" max="7697" width="10.125" style="1" bestFit="1" customWidth="1"/>
    <col min="7698" max="7936" width="11" style="1"/>
    <col min="7937" max="7937" width="16" style="1" customWidth="1"/>
    <col min="7938" max="7938" width="49.625" style="1" customWidth="1"/>
    <col min="7939" max="7939" width="15.25" style="1" customWidth="1"/>
    <col min="7940" max="7946" width="14.625" style="1" customWidth="1"/>
    <col min="7947" max="7947" width="0" style="1" hidden="1" customWidth="1"/>
    <col min="7948" max="7948" width="7.875" style="1" customWidth="1"/>
    <col min="7949" max="7949" width="17.375" style="1" customWidth="1"/>
    <col min="7950" max="7950" width="14.625" style="1" customWidth="1"/>
    <col min="7951" max="7951" width="8.5" style="1" customWidth="1"/>
    <col min="7952" max="7952" width="11" style="1"/>
    <col min="7953" max="7953" width="10.125" style="1" bestFit="1" customWidth="1"/>
    <col min="7954" max="8192" width="11" style="1"/>
    <col min="8193" max="8193" width="16" style="1" customWidth="1"/>
    <col min="8194" max="8194" width="49.625" style="1" customWidth="1"/>
    <col min="8195" max="8195" width="15.25" style="1" customWidth="1"/>
    <col min="8196" max="8202" width="14.625" style="1" customWidth="1"/>
    <col min="8203" max="8203" width="0" style="1" hidden="1" customWidth="1"/>
    <col min="8204" max="8204" width="7.875" style="1" customWidth="1"/>
    <col min="8205" max="8205" width="17.375" style="1" customWidth="1"/>
    <col min="8206" max="8206" width="14.625" style="1" customWidth="1"/>
    <col min="8207" max="8207" width="8.5" style="1" customWidth="1"/>
    <col min="8208" max="8208" width="11" style="1"/>
    <col min="8209" max="8209" width="10.125" style="1" bestFit="1" customWidth="1"/>
    <col min="8210" max="8448" width="11" style="1"/>
    <col min="8449" max="8449" width="16" style="1" customWidth="1"/>
    <col min="8450" max="8450" width="49.625" style="1" customWidth="1"/>
    <col min="8451" max="8451" width="15.25" style="1" customWidth="1"/>
    <col min="8452" max="8458" width="14.625" style="1" customWidth="1"/>
    <col min="8459" max="8459" width="0" style="1" hidden="1" customWidth="1"/>
    <col min="8460" max="8460" width="7.875" style="1" customWidth="1"/>
    <col min="8461" max="8461" width="17.375" style="1" customWidth="1"/>
    <col min="8462" max="8462" width="14.625" style="1" customWidth="1"/>
    <col min="8463" max="8463" width="8.5" style="1" customWidth="1"/>
    <col min="8464" max="8464" width="11" style="1"/>
    <col min="8465" max="8465" width="10.125" style="1" bestFit="1" customWidth="1"/>
    <col min="8466" max="8704" width="11" style="1"/>
    <col min="8705" max="8705" width="16" style="1" customWidth="1"/>
    <col min="8706" max="8706" width="49.625" style="1" customWidth="1"/>
    <col min="8707" max="8707" width="15.25" style="1" customWidth="1"/>
    <col min="8708" max="8714" width="14.625" style="1" customWidth="1"/>
    <col min="8715" max="8715" width="0" style="1" hidden="1" customWidth="1"/>
    <col min="8716" max="8716" width="7.875" style="1" customWidth="1"/>
    <col min="8717" max="8717" width="17.375" style="1" customWidth="1"/>
    <col min="8718" max="8718" width="14.625" style="1" customWidth="1"/>
    <col min="8719" max="8719" width="8.5" style="1" customWidth="1"/>
    <col min="8720" max="8720" width="11" style="1"/>
    <col min="8721" max="8721" width="10.125" style="1" bestFit="1" customWidth="1"/>
    <col min="8722" max="8960" width="11" style="1"/>
    <col min="8961" max="8961" width="16" style="1" customWidth="1"/>
    <col min="8962" max="8962" width="49.625" style="1" customWidth="1"/>
    <col min="8963" max="8963" width="15.25" style="1" customWidth="1"/>
    <col min="8964" max="8970" width="14.625" style="1" customWidth="1"/>
    <col min="8971" max="8971" width="0" style="1" hidden="1" customWidth="1"/>
    <col min="8972" max="8972" width="7.875" style="1" customWidth="1"/>
    <col min="8973" max="8973" width="17.375" style="1" customWidth="1"/>
    <col min="8974" max="8974" width="14.625" style="1" customWidth="1"/>
    <col min="8975" max="8975" width="8.5" style="1" customWidth="1"/>
    <col min="8976" max="8976" width="11" style="1"/>
    <col min="8977" max="8977" width="10.125" style="1" bestFit="1" customWidth="1"/>
    <col min="8978" max="9216" width="11" style="1"/>
    <col min="9217" max="9217" width="16" style="1" customWidth="1"/>
    <col min="9218" max="9218" width="49.625" style="1" customWidth="1"/>
    <col min="9219" max="9219" width="15.25" style="1" customWidth="1"/>
    <col min="9220" max="9226" width="14.625" style="1" customWidth="1"/>
    <col min="9227" max="9227" width="0" style="1" hidden="1" customWidth="1"/>
    <col min="9228" max="9228" width="7.875" style="1" customWidth="1"/>
    <col min="9229" max="9229" width="17.375" style="1" customWidth="1"/>
    <col min="9230" max="9230" width="14.625" style="1" customWidth="1"/>
    <col min="9231" max="9231" width="8.5" style="1" customWidth="1"/>
    <col min="9232" max="9232" width="11" style="1"/>
    <col min="9233" max="9233" width="10.125" style="1" bestFit="1" customWidth="1"/>
    <col min="9234" max="9472" width="11" style="1"/>
    <col min="9473" max="9473" width="16" style="1" customWidth="1"/>
    <col min="9474" max="9474" width="49.625" style="1" customWidth="1"/>
    <col min="9475" max="9475" width="15.25" style="1" customWidth="1"/>
    <col min="9476" max="9482" width="14.625" style="1" customWidth="1"/>
    <col min="9483" max="9483" width="0" style="1" hidden="1" customWidth="1"/>
    <col min="9484" max="9484" width="7.875" style="1" customWidth="1"/>
    <col min="9485" max="9485" width="17.375" style="1" customWidth="1"/>
    <col min="9486" max="9486" width="14.625" style="1" customWidth="1"/>
    <col min="9487" max="9487" width="8.5" style="1" customWidth="1"/>
    <col min="9488" max="9488" width="11" style="1"/>
    <col min="9489" max="9489" width="10.125" style="1" bestFit="1" customWidth="1"/>
    <col min="9490" max="9728" width="11" style="1"/>
    <col min="9729" max="9729" width="16" style="1" customWidth="1"/>
    <col min="9730" max="9730" width="49.625" style="1" customWidth="1"/>
    <col min="9731" max="9731" width="15.25" style="1" customWidth="1"/>
    <col min="9732" max="9738" width="14.625" style="1" customWidth="1"/>
    <col min="9739" max="9739" width="0" style="1" hidden="1" customWidth="1"/>
    <col min="9740" max="9740" width="7.875" style="1" customWidth="1"/>
    <col min="9741" max="9741" width="17.375" style="1" customWidth="1"/>
    <col min="9742" max="9742" width="14.625" style="1" customWidth="1"/>
    <col min="9743" max="9743" width="8.5" style="1" customWidth="1"/>
    <col min="9744" max="9744" width="11" style="1"/>
    <col min="9745" max="9745" width="10.125" style="1" bestFit="1" customWidth="1"/>
    <col min="9746" max="9984" width="11" style="1"/>
    <col min="9985" max="9985" width="16" style="1" customWidth="1"/>
    <col min="9986" max="9986" width="49.625" style="1" customWidth="1"/>
    <col min="9987" max="9987" width="15.25" style="1" customWidth="1"/>
    <col min="9988" max="9994" width="14.625" style="1" customWidth="1"/>
    <col min="9995" max="9995" width="0" style="1" hidden="1" customWidth="1"/>
    <col min="9996" max="9996" width="7.875" style="1" customWidth="1"/>
    <col min="9997" max="9997" width="17.375" style="1" customWidth="1"/>
    <col min="9998" max="9998" width="14.625" style="1" customWidth="1"/>
    <col min="9999" max="9999" width="8.5" style="1" customWidth="1"/>
    <col min="10000" max="10000" width="11" style="1"/>
    <col min="10001" max="10001" width="10.125" style="1" bestFit="1" customWidth="1"/>
    <col min="10002" max="10240" width="11" style="1"/>
    <col min="10241" max="10241" width="16" style="1" customWidth="1"/>
    <col min="10242" max="10242" width="49.625" style="1" customWidth="1"/>
    <col min="10243" max="10243" width="15.25" style="1" customWidth="1"/>
    <col min="10244" max="10250" width="14.625" style="1" customWidth="1"/>
    <col min="10251" max="10251" width="0" style="1" hidden="1" customWidth="1"/>
    <col min="10252" max="10252" width="7.875" style="1" customWidth="1"/>
    <col min="10253" max="10253" width="17.375" style="1" customWidth="1"/>
    <col min="10254" max="10254" width="14.625" style="1" customWidth="1"/>
    <col min="10255" max="10255" width="8.5" style="1" customWidth="1"/>
    <col min="10256" max="10256" width="11" style="1"/>
    <col min="10257" max="10257" width="10.125" style="1" bestFit="1" customWidth="1"/>
    <col min="10258" max="10496" width="11" style="1"/>
    <col min="10497" max="10497" width="16" style="1" customWidth="1"/>
    <col min="10498" max="10498" width="49.625" style="1" customWidth="1"/>
    <col min="10499" max="10499" width="15.25" style="1" customWidth="1"/>
    <col min="10500" max="10506" width="14.625" style="1" customWidth="1"/>
    <col min="10507" max="10507" width="0" style="1" hidden="1" customWidth="1"/>
    <col min="10508" max="10508" width="7.875" style="1" customWidth="1"/>
    <col min="10509" max="10509" width="17.375" style="1" customWidth="1"/>
    <col min="10510" max="10510" width="14.625" style="1" customWidth="1"/>
    <col min="10511" max="10511" width="8.5" style="1" customWidth="1"/>
    <col min="10512" max="10512" width="11" style="1"/>
    <col min="10513" max="10513" width="10.125" style="1" bestFit="1" customWidth="1"/>
    <col min="10514" max="10752" width="11" style="1"/>
    <col min="10753" max="10753" width="16" style="1" customWidth="1"/>
    <col min="10754" max="10754" width="49.625" style="1" customWidth="1"/>
    <col min="10755" max="10755" width="15.25" style="1" customWidth="1"/>
    <col min="10756" max="10762" width="14.625" style="1" customWidth="1"/>
    <col min="10763" max="10763" width="0" style="1" hidden="1" customWidth="1"/>
    <col min="10764" max="10764" width="7.875" style="1" customWidth="1"/>
    <col min="10765" max="10765" width="17.375" style="1" customWidth="1"/>
    <col min="10766" max="10766" width="14.625" style="1" customWidth="1"/>
    <col min="10767" max="10767" width="8.5" style="1" customWidth="1"/>
    <col min="10768" max="10768" width="11" style="1"/>
    <col min="10769" max="10769" width="10.125" style="1" bestFit="1" customWidth="1"/>
    <col min="10770" max="11008" width="11" style="1"/>
    <col min="11009" max="11009" width="16" style="1" customWidth="1"/>
    <col min="11010" max="11010" width="49.625" style="1" customWidth="1"/>
    <col min="11011" max="11011" width="15.25" style="1" customWidth="1"/>
    <col min="11012" max="11018" width="14.625" style="1" customWidth="1"/>
    <col min="11019" max="11019" width="0" style="1" hidden="1" customWidth="1"/>
    <col min="11020" max="11020" width="7.875" style="1" customWidth="1"/>
    <col min="11021" max="11021" width="17.375" style="1" customWidth="1"/>
    <col min="11022" max="11022" width="14.625" style="1" customWidth="1"/>
    <col min="11023" max="11023" width="8.5" style="1" customWidth="1"/>
    <col min="11024" max="11024" width="11" style="1"/>
    <col min="11025" max="11025" width="10.125" style="1" bestFit="1" customWidth="1"/>
    <col min="11026" max="11264" width="11" style="1"/>
    <col min="11265" max="11265" width="16" style="1" customWidth="1"/>
    <col min="11266" max="11266" width="49.625" style="1" customWidth="1"/>
    <col min="11267" max="11267" width="15.25" style="1" customWidth="1"/>
    <col min="11268" max="11274" width="14.625" style="1" customWidth="1"/>
    <col min="11275" max="11275" width="0" style="1" hidden="1" customWidth="1"/>
    <col min="11276" max="11276" width="7.875" style="1" customWidth="1"/>
    <col min="11277" max="11277" width="17.375" style="1" customWidth="1"/>
    <col min="11278" max="11278" width="14.625" style="1" customWidth="1"/>
    <col min="11279" max="11279" width="8.5" style="1" customWidth="1"/>
    <col min="11280" max="11280" width="11" style="1"/>
    <col min="11281" max="11281" width="10.125" style="1" bestFit="1" customWidth="1"/>
    <col min="11282" max="11520" width="11" style="1"/>
    <col min="11521" max="11521" width="16" style="1" customWidth="1"/>
    <col min="11522" max="11522" width="49.625" style="1" customWidth="1"/>
    <col min="11523" max="11523" width="15.25" style="1" customWidth="1"/>
    <col min="11524" max="11530" width="14.625" style="1" customWidth="1"/>
    <col min="11531" max="11531" width="0" style="1" hidden="1" customWidth="1"/>
    <col min="11532" max="11532" width="7.875" style="1" customWidth="1"/>
    <col min="11533" max="11533" width="17.375" style="1" customWidth="1"/>
    <col min="11534" max="11534" width="14.625" style="1" customWidth="1"/>
    <col min="11535" max="11535" width="8.5" style="1" customWidth="1"/>
    <col min="11536" max="11536" width="11" style="1"/>
    <col min="11537" max="11537" width="10.125" style="1" bestFit="1" customWidth="1"/>
    <col min="11538" max="11776" width="11" style="1"/>
    <col min="11777" max="11777" width="16" style="1" customWidth="1"/>
    <col min="11778" max="11778" width="49.625" style="1" customWidth="1"/>
    <col min="11779" max="11779" width="15.25" style="1" customWidth="1"/>
    <col min="11780" max="11786" width="14.625" style="1" customWidth="1"/>
    <col min="11787" max="11787" width="0" style="1" hidden="1" customWidth="1"/>
    <col min="11788" max="11788" width="7.875" style="1" customWidth="1"/>
    <col min="11789" max="11789" width="17.375" style="1" customWidth="1"/>
    <col min="11790" max="11790" width="14.625" style="1" customWidth="1"/>
    <col min="11791" max="11791" width="8.5" style="1" customWidth="1"/>
    <col min="11792" max="11792" width="11" style="1"/>
    <col min="11793" max="11793" width="10.125" style="1" bestFit="1" customWidth="1"/>
    <col min="11794" max="12032" width="11" style="1"/>
    <col min="12033" max="12033" width="16" style="1" customWidth="1"/>
    <col min="12034" max="12034" width="49.625" style="1" customWidth="1"/>
    <col min="12035" max="12035" width="15.25" style="1" customWidth="1"/>
    <col min="12036" max="12042" width="14.625" style="1" customWidth="1"/>
    <col min="12043" max="12043" width="0" style="1" hidden="1" customWidth="1"/>
    <col min="12044" max="12044" width="7.875" style="1" customWidth="1"/>
    <col min="12045" max="12045" width="17.375" style="1" customWidth="1"/>
    <col min="12046" max="12046" width="14.625" style="1" customWidth="1"/>
    <col min="12047" max="12047" width="8.5" style="1" customWidth="1"/>
    <col min="12048" max="12048" width="11" style="1"/>
    <col min="12049" max="12049" width="10.125" style="1" bestFit="1" customWidth="1"/>
    <col min="12050" max="12288" width="11" style="1"/>
    <col min="12289" max="12289" width="16" style="1" customWidth="1"/>
    <col min="12290" max="12290" width="49.625" style="1" customWidth="1"/>
    <col min="12291" max="12291" width="15.25" style="1" customWidth="1"/>
    <col min="12292" max="12298" width="14.625" style="1" customWidth="1"/>
    <col min="12299" max="12299" width="0" style="1" hidden="1" customWidth="1"/>
    <col min="12300" max="12300" width="7.875" style="1" customWidth="1"/>
    <col min="12301" max="12301" width="17.375" style="1" customWidth="1"/>
    <col min="12302" max="12302" width="14.625" style="1" customWidth="1"/>
    <col min="12303" max="12303" width="8.5" style="1" customWidth="1"/>
    <col min="12304" max="12304" width="11" style="1"/>
    <col min="12305" max="12305" width="10.125" style="1" bestFit="1" customWidth="1"/>
    <col min="12306" max="12544" width="11" style="1"/>
    <col min="12545" max="12545" width="16" style="1" customWidth="1"/>
    <col min="12546" max="12546" width="49.625" style="1" customWidth="1"/>
    <col min="12547" max="12547" width="15.25" style="1" customWidth="1"/>
    <col min="12548" max="12554" width="14.625" style="1" customWidth="1"/>
    <col min="12555" max="12555" width="0" style="1" hidden="1" customWidth="1"/>
    <col min="12556" max="12556" width="7.875" style="1" customWidth="1"/>
    <col min="12557" max="12557" width="17.375" style="1" customWidth="1"/>
    <col min="12558" max="12558" width="14.625" style="1" customWidth="1"/>
    <col min="12559" max="12559" width="8.5" style="1" customWidth="1"/>
    <col min="12560" max="12560" width="11" style="1"/>
    <col min="12561" max="12561" width="10.125" style="1" bestFit="1" customWidth="1"/>
    <col min="12562" max="12800" width="11" style="1"/>
    <col min="12801" max="12801" width="16" style="1" customWidth="1"/>
    <col min="12802" max="12802" width="49.625" style="1" customWidth="1"/>
    <col min="12803" max="12803" width="15.25" style="1" customWidth="1"/>
    <col min="12804" max="12810" width="14.625" style="1" customWidth="1"/>
    <col min="12811" max="12811" width="0" style="1" hidden="1" customWidth="1"/>
    <col min="12812" max="12812" width="7.875" style="1" customWidth="1"/>
    <col min="12813" max="12813" width="17.375" style="1" customWidth="1"/>
    <col min="12814" max="12814" width="14.625" style="1" customWidth="1"/>
    <col min="12815" max="12815" width="8.5" style="1" customWidth="1"/>
    <col min="12816" max="12816" width="11" style="1"/>
    <col min="12817" max="12817" width="10.125" style="1" bestFit="1" customWidth="1"/>
    <col min="12818" max="13056" width="11" style="1"/>
    <col min="13057" max="13057" width="16" style="1" customWidth="1"/>
    <col min="13058" max="13058" width="49.625" style="1" customWidth="1"/>
    <col min="13059" max="13059" width="15.25" style="1" customWidth="1"/>
    <col min="13060" max="13066" width="14.625" style="1" customWidth="1"/>
    <col min="13067" max="13067" width="0" style="1" hidden="1" customWidth="1"/>
    <col min="13068" max="13068" width="7.875" style="1" customWidth="1"/>
    <col min="13069" max="13069" width="17.375" style="1" customWidth="1"/>
    <col min="13070" max="13070" width="14.625" style="1" customWidth="1"/>
    <col min="13071" max="13071" width="8.5" style="1" customWidth="1"/>
    <col min="13072" max="13072" width="11" style="1"/>
    <col min="13073" max="13073" width="10.125" style="1" bestFit="1" customWidth="1"/>
    <col min="13074" max="13312" width="11" style="1"/>
    <col min="13313" max="13313" width="16" style="1" customWidth="1"/>
    <col min="13314" max="13314" width="49.625" style="1" customWidth="1"/>
    <col min="13315" max="13315" width="15.25" style="1" customWidth="1"/>
    <col min="13316" max="13322" width="14.625" style="1" customWidth="1"/>
    <col min="13323" max="13323" width="0" style="1" hidden="1" customWidth="1"/>
    <col min="13324" max="13324" width="7.875" style="1" customWidth="1"/>
    <col min="13325" max="13325" width="17.375" style="1" customWidth="1"/>
    <col min="13326" max="13326" width="14.625" style="1" customWidth="1"/>
    <col min="13327" max="13327" width="8.5" style="1" customWidth="1"/>
    <col min="13328" max="13328" width="11" style="1"/>
    <col min="13329" max="13329" width="10.125" style="1" bestFit="1" customWidth="1"/>
    <col min="13330" max="13568" width="11" style="1"/>
    <col min="13569" max="13569" width="16" style="1" customWidth="1"/>
    <col min="13570" max="13570" width="49.625" style="1" customWidth="1"/>
    <col min="13571" max="13571" width="15.25" style="1" customWidth="1"/>
    <col min="13572" max="13578" width="14.625" style="1" customWidth="1"/>
    <col min="13579" max="13579" width="0" style="1" hidden="1" customWidth="1"/>
    <col min="13580" max="13580" width="7.875" style="1" customWidth="1"/>
    <col min="13581" max="13581" width="17.375" style="1" customWidth="1"/>
    <col min="13582" max="13582" width="14.625" style="1" customWidth="1"/>
    <col min="13583" max="13583" width="8.5" style="1" customWidth="1"/>
    <col min="13584" max="13584" width="11" style="1"/>
    <col min="13585" max="13585" width="10.125" style="1" bestFit="1" customWidth="1"/>
    <col min="13586" max="13824" width="11" style="1"/>
    <col min="13825" max="13825" width="16" style="1" customWidth="1"/>
    <col min="13826" max="13826" width="49.625" style="1" customWidth="1"/>
    <col min="13827" max="13827" width="15.25" style="1" customWidth="1"/>
    <col min="13828" max="13834" width="14.625" style="1" customWidth="1"/>
    <col min="13835" max="13835" width="0" style="1" hidden="1" customWidth="1"/>
    <col min="13836" max="13836" width="7.875" style="1" customWidth="1"/>
    <col min="13837" max="13837" width="17.375" style="1" customWidth="1"/>
    <col min="13838" max="13838" width="14.625" style="1" customWidth="1"/>
    <col min="13839" max="13839" width="8.5" style="1" customWidth="1"/>
    <col min="13840" max="13840" width="11" style="1"/>
    <col min="13841" max="13841" width="10.125" style="1" bestFit="1" customWidth="1"/>
    <col min="13842" max="14080" width="11" style="1"/>
    <col min="14081" max="14081" width="16" style="1" customWidth="1"/>
    <col min="14082" max="14082" width="49.625" style="1" customWidth="1"/>
    <col min="14083" max="14083" width="15.25" style="1" customWidth="1"/>
    <col min="14084" max="14090" width="14.625" style="1" customWidth="1"/>
    <col min="14091" max="14091" width="0" style="1" hidden="1" customWidth="1"/>
    <col min="14092" max="14092" width="7.875" style="1" customWidth="1"/>
    <col min="14093" max="14093" width="17.375" style="1" customWidth="1"/>
    <col min="14094" max="14094" width="14.625" style="1" customWidth="1"/>
    <col min="14095" max="14095" width="8.5" style="1" customWidth="1"/>
    <col min="14096" max="14096" width="11" style="1"/>
    <col min="14097" max="14097" width="10.125" style="1" bestFit="1" customWidth="1"/>
    <col min="14098" max="14336" width="11" style="1"/>
    <col min="14337" max="14337" width="16" style="1" customWidth="1"/>
    <col min="14338" max="14338" width="49.625" style="1" customWidth="1"/>
    <col min="14339" max="14339" width="15.25" style="1" customWidth="1"/>
    <col min="14340" max="14346" width="14.625" style="1" customWidth="1"/>
    <col min="14347" max="14347" width="0" style="1" hidden="1" customWidth="1"/>
    <col min="14348" max="14348" width="7.875" style="1" customWidth="1"/>
    <col min="14349" max="14349" width="17.375" style="1" customWidth="1"/>
    <col min="14350" max="14350" width="14.625" style="1" customWidth="1"/>
    <col min="14351" max="14351" width="8.5" style="1" customWidth="1"/>
    <col min="14352" max="14352" width="11" style="1"/>
    <col min="14353" max="14353" width="10.125" style="1" bestFit="1" customWidth="1"/>
    <col min="14354" max="14592" width="11" style="1"/>
    <col min="14593" max="14593" width="16" style="1" customWidth="1"/>
    <col min="14594" max="14594" width="49.625" style="1" customWidth="1"/>
    <col min="14595" max="14595" width="15.25" style="1" customWidth="1"/>
    <col min="14596" max="14602" width="14.625" style="1" customWidth="1"/>
    <col min="14603" max="14603" width="0" style="1" hidden="1" customWidth="1"/>
    <col min="14604" max="14604" width="7.875" style="1" customWidth="1"/>
    <col min="14605" max="14605" width="17.375" style="1" customWidth="1"/>
    <col min="14606" max="14606" width="14.625" style="1" customWidth="1"/>
    <col min="14607" max="14607" width="8.5" style="1" customWidth="1"/>
    <col min="14608" max="14608" width="11" style="1"/>
    <col min="14609" max="14609" width="10.125" style="1" bestFit="1" customWidth="1"/>
    <col min="14610" max="14848" width="11" style="1"/>
    <col min="14849" max="14849" width="16" style="1" customWidth="1"/>
    <col min="14850" max="14850" width="49.625" style="1" customWidth="1"/>
    <col min="14851" max="14851" width="15.25" style="1" customWidth="1"/>
    <col min="14852" max="14858" width="14.625" style="1" customWidth="1"/>
    <col min="14859" max="14859" width="0" style="1" hidden="1" customWidth="1"/>
    <col min="14860" max="14860" width="7.875" style="1" customWidth="1"/>
    <col min="14861" max="14861" width="17.375" style="1" customWidth="1"/>
    <col min="14862" max="14862" width="14.625" style="1" customWidth="1"/>
    <col min="14863" max="14863" width="8.5" style="1" customWidth="1"/>
    <col min="14864" max="14864" width="11" style="1"/>
    <col min="14865" max="14865" width="10.125" style="1" bestFit="1" customWidth="1"/>
    <col min="14866" max="15104" width="11" style="1"/>
    <col min="15105" max="15105" width="16" style="1" customWidth="1"/>
    <col min="15106" max="15106" width="49.625" style="1" customWidth="1"/>
    <col min="15107" max="15107" width="15.25" style="1" customWidth="1"/>
    <col min="15108" max="15114" width="14.625" style="1" customWidth="1"/>
    <col min="15115" max="15115" width="0" style="1" hidden="1" customWidth="1"/>
    <col min="15116" max="15116" width="7.875" style="1" customWidth="1"/>
    <col min="15117" max="15117" width="17.375" style="1" customWidth="1"/>
    <col min="15118" max="15118" width="14.625" style="1" customWidth="1"/>
    <col min="15119" max="15119" width="8.5" style="1" customWidth="1"/>
    <col min="15120" max="15120" width="11" style="1"/>
    <col min="15121" max="15121" width="10.125" style="1" bestFit="1" customWidth="1"/>
    <col min="15122" max="15360" width="11" style="1"/>
    <col min="15361" max="15361" width="16" style="1" customWidth="1"/>
    <col min="15362" max="15362" width="49.625" style="1" customWidth="1"/>
    <col min="15363" max="15363" width="15.25" style="1" customWidth="1"/>
    <col min="15364" max="15370" width="14.625" style="1" customWidth="1"/>
    <col min="15371" max="15371" width="0" style="1" hidden="1" customWidth="1"/>
    <col min="15372" max="15372" width="7.875" style="1" customWidth="1"/>
    <col min="15373" max="15373" width="17.375" style="1" customWidth="1"/>
    <col min="15374" max="15374" width="14.625" style="1" customWidth="1"/>
    <col min="15375" max="15375" width="8.5" style="1" customWidth="1"/>
    <col min="15376" max="15376" width="11" style="1"/>
    <col min="15377" max="15377" width="10.125" style="1" bestFit="1" customWidth="1"/>
    <col min="15378" max="15616" width="11" style="1"/>
    <col min="15617" max="15617" width="16" style="1" customWidth="1"/>
    <col min="15618" max="15618" width="49.625" style="1" customWidth="1"/>
    <col min="15619" max="15619" width="15.25" style="1" customWidth="1"/>
    <col min="15620" max="15626" width="14.625" style="1" customWidth="1"/>
    <col min="15627" max="15627" width="0" style="1" hidden="1" customWidth="1"/>
    <col min="15628" max="15628" width="7.875" style="1" customWidth="1"/>
    <col min="15629" max="15629" width="17.375" style="1" customWidth="1"/>
    <col min="15630" max="15630" width="14.625" style="1" customWidth="1"/>
    <col min="15631" max="15631" width="8.5" style="1" customWidth="1"/>
    <col min="15632" max="15632" width="11" style="1"/>
    <col min="15633" max="15633" width="10.125" style="1" bestFit="1" customWidth="1"/>
    <col min="15634" max="15872" width="11" style="1"/>
    <col min="15873" max="15873" width="16" style="1" customWidth="1"/>
    <col min="15874" max="15874" width="49.625" style="1" customWidth="1"/>
    <col min="15875" max="15875" width="15.25" style="1" customWidth="1"/>
    <col min="15876" max="15882" width="14.625" style="1" customWidth="1"/>
    <col min="15883" max="15883" width="0" style="1" hidden="1" customWidth="1"/>
    <col min="15884" max="15884" width="7.875" style="1" customWidth="1"/>
    <col min="15885" max="15885" width="17.375" style="1" customWidth="1"/>
    <col min="15886" max="15886" width="14.625" style="1" customWidth="1"/>
    <col min="15887" max="15887" width="8.5" style="1" customWidth="1"/>
    <col min="15888" max="15888" width="11" style="1"/>
    <col min="15889" max="15889" width="10.125" style="1" bestFit="1" customWidth="1"/>
    <col min="15890" max="16128" width="11" style="1"/>
    <col min="16129" max="16129" width="16" style="1" customWidth="1"/>
    <col min="16130" max="16130" width="49.625" style="1" customWidth="1"/>
    <col min="16131" max="16131" width="15.25" style="1" customWidth="1"/>
    <col min="16132" max="16138" width="14.625" style="1" customWidth="1"/>
    <col min="16139" max="16139" width="0" style="1" hidden="1" customWidth="1"/>
    <col min="16140" max="16140" width="7.875" style="1" customWidth="1"/>
    <col min="16141" max="16141" width="17.375" style="1" customWidth="1"/>
    <col min="16142" max="16142" width="14.625" style="1" customWidth="1"/>
    <col min="16143" max="16143" width="8.5" style="1" customWidth="1"/>
    <col min="16144" max="16144" width="11" style="1"/>
    <col min="16145" max="16145" width="10.125" style="1" bestFit="1" customWidth="1"/>
    <col min="16146" max="16384" width="11" style="1"/>
  </cols>
  <sheetData>
    <row r="1" spans="1:15" ht="18" x14ac:dyDescent="0.2">
      <c r="A1" s="195" t="s">
        <v>0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</row>
    <row r="2" spans="1:15" ht="18" x14ac:dyDescent="0.25">
      <c r="A2" s="196" t="s">
        <v>1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</row>
    <row r="3" spans="1:15" ht="18" x14ac:dyDescent="0.25">
      <c r="A3" s="196" t="s">
        <v>132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</row>
    <row r="4" spans="1:15" ht="18.75" thickBot="1" x14ac:dyDescent="0.3">
      <c r="A4" s="2"/>
      <c r="B4" s="4"/>
      <c r="C4" s="4"/>
      <c r="D4" s="4"/>
      <c r="E4" s="6"/>
      <c r="F4" s="6"/>
      <c r="G4" s="4"/>
      <c r="H4" s="4"/>
      <c r="I4" s="4"/>
      <c r="J4" s="4"/>
      <c r="K4" s="4"/>
      <c r="L4" s="4"/>
      <c r="M4" s="5"/>
      <c r="N4" s="4"/>
      <c r="O4" s="3"/>
    </row>
    <row r="5" spans="1:15" ht="23.25" customHeight="1" x14ac:dyDescent="0.25">
      <c r="A5" s="47" t="s">
        <v>3</v>
      </c>
      <c r="B5" s="48" t="s">
        <v>4</v>
      </c>
      <c r="C5" s="49" t="s">
        <v>5</v>
      </c>
      <c r="D5" s="197" t="s">
        <v>131</v>
      </c>
      <c r="E5" s="51" t="s">
        <v>7</v>
      </c>
      <c r="F5" s="51" t="s">
        <v>8</v>
      </c>
      <c r="G5" s="49" t="s">
        <v>9</v>
      </c>
      <c r="H5" s="50" t="s">
        <v>10</v>
      </c>
      <c r="I5" s="51" t="s">
        <v>11</v>
      </c>
      <c r="J5" s="49" t="s">
        <v>12</v>
      </c>
      <c r="K5" s="49" t="s">
        <v>13</v>
      </c>
      <c r="L5" s="201" t="s">
        <v>14</v>
      </c>
      <c r="M5" s="52" t="s">
        <v>10</v>
      </c>
      <c r="N5" s="49" t="s">
        <v>15</v>
      </c>
      <c r="O5" s="53" t="s">
        <v>14</v>
      </c>
    </row>
    <row r="6" spans="1:15" ht="23.25" customHeight="1" thickBot="1" x14ac:dyDescent="0.3">
      <c r="A6" s="54"/>
      <c r="B6" s="55"/>
      <c r="C6" s="56" t="s">
        <v>16</v>
      </c>
      <c r="D6" s="198"/>
      <c r="E6" s="58"/>
      <c r="F6" s="58"/>
      <c r="G6" s="56" t="s">
        <v>8</v>
      </c>
      <c r="H6" s="57" t="s">
        <v>5</v>
      </c>
      <c r="I6" s="59" t="s">
        <v>17</v>
      </c>
      <c r="J6" s="56" t="s">
        <v>18</v>
      </c>
      <c r="K6" s="56" t="s">
        <v>19</v>
      </c>
      <c r="L6" s="202"/>
      <c r="M6" s="60" t="s">
        <v>19</v>
      </c>
      <c r="N6" s="56" t="s">
        <v>20</v>
      </c>
      <c r="O6" s="61"/>
    </row>
    <row r="7" spans="1:15" ht="15" x14ac:dyDescent="0.25">
      <c r="A7" s="7"/>
      <c r="B7" s="8"/>
      <c r="C7" s="9"/>
      <c r="D7" s="9"/>
      <c r="E7" s="10"/>
      <c r="F7" s="10"/>
      <c r="G7" s="9"/>
      <c r="H7" s="9"/>
      <c r="I7" s="11"/>
      <c r="J7" s="9"/>
      <c r="K7" s="9"/>
      <c r="L7" s="9"/>
      <c r="M7" s="12"/>
      <c r="N7" s="13"/>
      <c r="O7" s="14"/>
    </row>
    <row r="8" spans="1:15" s="77" customFormat="1" ht="27.75" customHeight="1" x14ac:dyDescent="0.2">
      <c r="A8" s="65" t="s">
        <v>21</v>
      </c>
      <c r="B8" s="76" t="s">
        <v>22</v>
      </c>
      <c r="C8" s="68">
        <f t="shared" ref="C8:H8" si="0">SUM(C9:C18)</f>
        <v>647432879</v>
      </c>
      <c r="D8" s="68">
        <f t="shared" si="0"/>
        <v>0</v>
      </c>
      <c r="E8" s="68">
        <f t="shared" si="0"/>
        <v>0</v>
      </c>
      <c r="F8" s="68">
        <f t="shared" si="0"/>
        <v>291507</v>
      </c>
      <c r="G8" s="68">
        <f t="shared" si="0"/>
        <v>32808150</v>
      </c>
      <c r="H8" s="68">
        <f t="shared" si="0"/>
        <v>614916236</v>
      </c>
      <c r="I8" s="68">
        <f>I9+I10+I11+I12+I13+I14+I16+I17+I18</f>
        <v>418566643.97776085</v>
      </c>
      <c r="J8" s="68">
        <f>SUM(J9:J18)</f>
        <v>39668848</v>
      </c>
      <c r="K8" s="68">
        <f>SUM(K9:K18)</f>
        <v>458526998.97776085</v>
      </c>
      <c r="L8" s="69">
        <f t="shared" ref="L8:L71" si="1">K8/H8</f>
        <v>0.74567391806151762</v>
      </c>
      <c r="M8" s="70">
        <f>I8+J8</f>
        <v>458235491.97776085</v>
      </c>
      <c r="N8" s="68">
        <f>SUM(N9:N18)</f>
        <v>156389237.02223915</v>
      </c>
      <c r="O8" s="71">
        <f t="shared" ref="O8:O39" si="2">N8/H8</f>
        <v>0.25432608193848233</v>
      </c>
    </row>
    <row r="9" spans="1:15" ht="15" x14ac:dyDescent="0.25">
      <c r="A9" s="19" t="s">
        <v>23</v>
      </c>
      <c r="B9" s="20" t="s">
        <v>24</v>
      </c>
      <c r="C9" s="21">
        <v>491332879</v>
      </c>
      <c r="D9" s="22"/>
      <c r="E9" s="23"/>
      <c r="F9" s="36"/>
      <c r="G9" s="62">
        <v>18900000</v>
      </c>
      <c r="H9" s="21">
        <f>C9-D9+E9+F9-G9</f>
        <v>472432879</v>
      </c>
      <c r="I9" s="22">
        <f>SEPTIEMBRE!I9+SEPTIEMBRE!J9</f>
        <v>353972399</v>
      </c>
      <c r="J9" s="43">
        <f>39390167-63616</f>
        <v>39326551</v>
      </c>
      <c r="K9" s="21">
        <f>SUM(I9:J9)</f>
        <v>393298950</v>
      </c>
      <c r="L9" s="16">
        <f t="shared" si="1"/>
        <v>0.83249699054074511</v>
      </c>
      <c r="M9" s="25">
        <f t="shared" ref="M9:M70" si="3">J9+I9</f>
        <v>393298950</v>
      </c>
      <c r="N9" s="26">
        <f t="shared" ref="N9:N18" si="4">H9-K9</f>
        <v>79133929</v>
      </c>
      <c r="O9" s="18">
        <f t="shared" si="2"/>
        <v>0.16750300945925484</v>
      </c>
    </row>
    <row r="10" spans="1:15" ht="15" x14ac:dyDescent="0.25">
      <c r="A10" s="19" t="s">
        <v>25</v>
      </c>
      <c r="B10" s="20" t="s">
        <v>26</v>
      </c>
      <c r="C10" s="21">
        <v>0</v>
      </c>
      <c r="D10" s="22"/>
      <c r="E10" s="23"/>
      <c r="F10" s="36"/>
      <c r="G10" s="63"/>
      <c r="H10" s="21">
        <f t="shared" ref="H10:H23" si="5">C10-D10+E10+F10-G10</f>
        <v>0</v>
      </c>
      <c r="I10" s="22">
        <f>SEPTIEMBRE!I10+SEPTIEMBRE!J10</f>
        <v>0</v>
      </c>
      <c r="J10" s="22">
        <v>0</v>
      </c>
      <c r="K10" s="21">
        <f t="shared" ref="K10:K23" si="6">SUM(I10:J10)</f>
        <v>0</v>
      </c>
      <c r="L10" s="16">
        <v>0</v>
      </c>
      <c r="M10" s="25">
        <f t="shared" si="3"/>
        <v>0</v>
      </c>
      <c r="N10" s="26">
        <f t="shared" si="4"/>
        <v>0</v>
      </c>
      <c r="O10" s="18">
        <v>0</v>
      </c>
    </row>
    <row r="11" spans="1:15" ht="15" x14ac:dyDescent="0.25">
      <c r="A11" s="19" t="s">
        <v>27</v>
      </c>
      <c r="B11" s="20" t="s">
        <v>28</v>
      </c>
      <c r="C11" s="21">
        <v>2300000</v>
      </c>
      <c r="D11" s="22"/>
      <c r="E11" s="23"/>
      <c r="F11" s="36"/>
      <c r="G11" s="63"/>
      <c r="H11" s="21">
        <f t="shared" si="5"/>
        <v>2300000</v>
      </c>
      <c r="I11" s="22">
        <f>SEPTIEMBRE!I11+SEPTIEMBRE!J11</f>
        <v>748260</v>
      </c>
      <c r="J11" s="22">
        <v>83140</v>
      </c>
      <c r="K11" s="21">
        <f t="shared" si="6"/>
        <v>831400</v>
      </c>
      <c r="L11" s="16">
        <f t="shared" si="1"/>
        <v>0.36147826086956519</v>
      </c>
      <c r="M11" s="25">
        <f t="shared" si="3"/>
        <v>831400</v>
      </c>
      <c r="N11" s="26">
        <f t="shared" si="4"/>
        <v>1468600</v>
      </c>
      <c r="O11" s="18">
        <f t="shared" si="2"/>
        <v>0.63852173913043475</v>
      </c>
    </row>
    <row r="12" spans="1:15" ht="15.75" customHeight="1" x14ac:dyDescent="0.25">
      <c r="A12" s="19" t="s">
        <v>29</v>
      </c>
      <c r="B12" s="20" t="s">
        <v>30</v>
      </c>
      <c r="C12" s="21">
        <v>1800000</v>
      </c>
      <c r="D12" s="22"/>
      <c r="E12" s="23"/>
      <c r="F12" s="36"/>
      <c r="G12" s="63"/>
      <c r="H12" s="21">
        <f t="shared" si="5"/>
        <v>1800000</v>
      </c>
      <c r="I12" s="22">
        <f>SEPTIEMBRE!I12+SEPTIEMBRE!J12</f>
        <v>1030590</v>
      </c>
      <c r="J12" s="22">
        <v>114510</v>
      </c>
      <c r="K12" s="21">
        <f t="shared" si="6"/>
        <v>1145100</v>
      </c>
      <c r="L12" s="16">
        <f t="shared" si="1"/>
        <v>0.63616666666666666</v>
      </c>
      <c r="M12" s="25">
        <f t="shared" si="3"/>
        <v>1145100</v>
      </c>
      <c r="N12" s="26">
        <f t="shared" si="4"/>
        <v>654900</v>
      </c>
      <c r="O12" s="18">
        <f t="shared" si="2"/>
        <v>0.36383333333333334</v>
      </c>
    </row>
    <row r="13" spans="1:15" ht="15" x14ac:dyDescent="0.25">
      <c r="A13" s="19" t="s">
        <v>31</v>
      </c>
      <c r="B13" s="20" t="s">
        <v>32</v>
      </c>
      <c r="C13" s="21">
        <v>15000000</v>
      </c>
      <c r="D13" s="22"/>
      <c r="E13" s="23"/>
      <c r="F13" s="36"/>
      <c r="G13" s="63"/>
      <c r="H13" s="21">
        <f t="shared" si="5"/>
        <v>15000000</v>
      </c>
      <c r="I13" s="22">
        <f>SEPTIEMBRE!I13+SEPTIEMBRE!J13</f>
        <v>12772659</v>
      </c>
      <c r="J13" s="43">
        <v>0</v>
      </c>
      <c r="K13" s="21">
        <f t="shared" si="6"/>
        <v>12772659</v>
      </c>
      <c r="L13" s="16">
        <f t="shared" si="1"/>
        <v>0.85151060000000001</v>
      </c>
      <c r="M13" s="25">
        <f t="shared" si="3"/>
        <v>12772659</v>
      </c>
      <c r="N13" s="26">
        <f t="shared" si="4"/>
        <v>2227341</v>
      </c>
      <c r="O13" s="18">
        <f t="shared" si="2"/>
        <v>0.14848939999999999</v>
      </c>
    </row>
    <row r="14" spans="1:15" ht="15" x14ac:dyDescent="0.25">
      <c r="A14" s="19" t="s">
        <v>33</v>
      </c>
      <c r="B14" s="20" t="s">
        <v>34</v>
      </c>
      <c r="C14" s="21">
        <v>22000000</v>
      </c>
      <c r="D14" s="22"/>
      <c r="E14" s="23"/>
      <c r="F14" s="36"/>
      <c r="G14" s="63"/>
      <c r="H14" s="21">
        <f t="shared" si="5"/>
        <v>22000000</v>
      </c>
      <c r="I14" s="22">
        <f>SEPTIEMBRE!I14+SEPTIEMBRE!J14</f>
        <v>22000000</v>
      </c>
      <c r="J14" s="44">
        <v>0</v>
      </c>
      <c r="K14" s="21">
        <f t="shared" si="6"/>
        <v>22000000</v>
      </c>
      <c r="L14" s="16">
        <f t="shared" si="1"/>
        <v>1</v>
      </c>
      <c r="M14" s="25">
        <f t="shared" si="3"/>
        <v>22000000</v>
      </c>
      <c r="N14" s="26">
        <f t="shared" si="4"/>
        <v>0</v>
      </c>
      <c r="O14" s="18">
        <f t="shared" si="2"/>
        <v>0</v>
      </c>
    </row>
    <row r="15" spans="1:15" ht="15" x14ac:dyDescent="0.25">
      <c r="A15" s="19">
        <v>45</v>
      </c>
      <c r="B15" s="20" t="s">
        <v>34</v>
      </c>
      <c r="C15" s="21">
        <v>0</v>
      </c>
      <c r="D15" s="22"/>
      <c r="E15" s="23"/>
      <c r="F15" s="36">
        <v>291507</v>
      </c>
      <c r="G15" s="63"/>
      <c r="H15" s="21">
        <f t="shared" si="5"/>
        <v>291507</v>
      </c>
      <c r="I15" s="22">
        <f>SEPTIEMBRE!I15+SEPTIEMBRE!J15</f>
        <v>291507</v>
      </c>
      <c r="J15" s="44">
        <v>0</v>
      </c>
      <c r="K15" s="21">
        <f t="shared" si="6"/>
        <v>291507</v>
      </c>
      <c r="L15" s="16">
        <f t="shared" si="1"/>
        <v>1</v>
      </c>
      <c r="M15" s="25">
        <f t="shared" si="3"/>
        <v>291507</v>
      </c>
      <c r="N15" s="26">
        <f t="shared" si="4"/>
        <v>0</v>
      </c>
      <c r="O15" s="18">
        <f t="shared" si="2"/>
        <v>0</v>
      </c>
    </row>
    <row r="16" spans="1:15" ht="15" x14ac:dyDescent="0.25">
      <c r="A16" s="19" t="s">
        <v>35</v>
      </c>
      <c r="B16" s="20" t="s">
        <v>36</v>
      </c>
      <c r="C16" s="21">
        <v>33000000</v>
      </c>
      <c r="D16" s="22"/>
      <c r="E16" s="23"/>
      <c r="F16" s="36"/>
      <c r="G16" s="63">
        <v>5000000</v>
      </c>
      <c r="H16" s="21">
        <f t="shared" si="5"/>
        <v>28000000</v>
      </c>
      <c r="I16" s="22">
        <f>SEPTIEMBRE!I16+SEPTIEMBRE!J16</f>
        <v>10129524</v>
      </c>
      <c r="J16" s="43">
        <v>0</v>
      </c>
      <c r="K16" s="21">
        <f t="shared" si="6"/>
        <v>10129524</v>
      </c>
      <c r="L16" s="16">
        <f t="shared" si="1"/>
        <v>0.36176871428571428</v>
      </c>
      <c r="M16" s="25">
        <f t="shared" si="3"/>
        <v>10129524</v>
      </c>
      <c r="N16" s="26">
        <f t="shared" si="4"/>
        <v>17870476</v>
      </c>
      <c r="O16" s="18">
        <f t="shared" si="2"/>
        <v>0.63823128571428567</v>
      </c>
    </row>
    <row r="17" spans="1:15" ht="15" x14ac:dyDescent="0.25">
      <c r="A17" s="28">
        <v>2020110109</v>
      </c>
      <c r="B17" s="20" t="s">
        <v>37</v>
      </c>
      <c r="C17" s="21">
        <v>44000000</v>
      </c>
      <c r="D17" s="22"/>
      <c r="E17" s="23"/>
      <c r="F17" s="36"/>
      <c r="G17" s="63">
        <v>8908150</v>
      </c>
      <c r="H17" s="21">
        <f t="shared" si="5"/>
        <v>35091850</v>
      </c>
      <c r="I17" s="22">
        <f>SEPTIEMBRE!I17+SEPTIEMBRE!J17</f>
        <v>17558285.977760866</v>
      </c>
      <c r="J17" s="43">
        <v>144647</v>
      </c>
      <c r="K17" s="21">
        <f t="shared" si="6"/>
        <v>17702932.977760866</v>
      </c>
      <c r="L17" s="16">
        <f t="shared" si="1"/>
        <v>0.50447420064091419</v>
      </c>
      <c r="M17" s="25">
        <f t="shared" si="3"/>
        <v>17702932.977760866</v>
      </c>
      <c r="N17" s="26">
        <f t="shared" si="4"/>
        <v>17388917.022239134</v>
      </c>
      <c r="O17" s="18">
        <f t="shared" si="2"/>
        <v>0.49552579935908575</v>
      </c>
    </row>
    <row r="18" spans="1:15" ht="15" x14ac:dyDescent="0.25">
      <c r="A18" s="28">
        <v>2020110108</v>
      </c>
      <c r="B18" s="20" t="s">
        <v>38</v>
      </c>
      <c r="C18" s="21">
        <v>38000000</v>
      </c>
      <c r="D18" s="22"/>
      <c r="E18" s="23"/>
      <c r="F18" s="36"/>
      <c r="G18" s="63"/>
      <c r="H18" s="21">
        <f t="shared" si="5"/>
        <v>38000000</v>
      </c>
      <c r="I18" s="22">
        <f>SEPTIEMBRE!I18+SEPTIEMBRE!J18</f>
        <v>354926</v>
      </c>
      <c r="J18" s="43">
        <v>0</v>
      </c>
      <c r="K18" s="21">
        <f t="shared" si="6"/>
        <v>354926</v>
      </c>
      <c r="L18" s="16">
        <f t="shared" si="1"/>
        <v>9.3401578947368419E-3</v>
      </c>
      <c r="M18" s="25">
        <f t="shared" si="3"/>
        <v>354926</v>
      </c>
      <c r="N18" s="26">
        <f t="shared" si="4"/>
        <v>37645074</v>
      </c>
      <c r="O18" s="18">
        <f t="shared" si="2"/>
        <v>0.99065984210526314</v>
      </c>
    </row>
    <row r="19" spans="1:15" s="72" customFormat="1" ht="27.75" customHeight="1" x14ac:dyDescent="0.2">
      <c r="A19" s="65" t="s">
        <v>39</v>
      </c>
      <c r="B19" s="76" t="s">
        <v>40</v>
      </c>
      <c r="C19" s="68">
        <f t="shared" ref="C19:G19" si="7">SUM(C20:C23)</f>
        <v>20000000</v>
      </c>
      <c r="D19" s="68">
        <f t="shared" si="7"/>
        <v>0</v>
      </c>
      <c r="E19" s="68">
        <f t="shared" si="7"/>
        <v>9000000</v>
      </c>
      <c r="F19" s="68">
        <f t="shared" si="7"/>
        <v>15400000</v>
      </c>
      <c r="G19" s="68">
        <f t="shared" si="7"/>
        <v>0</v>
      </c>
      <c r="H19" s="68">
        <f>SUM(H20:H23)</f>
        <v>44400000</v>
      </c>
      <c r="I19" s="68">
        <f>SUM(I20:I23)</f>
        <v>38900000</v>
      </c>
      <c r="J19" s="68">
        <f>J20+J22+J23+J21</f>
        <v>0</v>
      </c>
      <c r="K19" s="68">
        <f>SUM(K20:K23)</f>
        <v>38900000</v>
      </c>
      <c r="L19" s="69">
        <f t="shared" si="1"/>
        <v>0.87612612612612617</v>
      </c>
      <c r="M19" s="75">
        <f t="shared" si="3"/>
        <v>38900000</v>
      </c>
      <c r="N19" s="75">
        <f>SUM(N20:N23)</f>
        <v>5500000</v>
      </c>
      <c r="O19" s="71">
        <f t="shared" si="2"/>
        <v>0.12387387387387387</v>
      </c>
    </row>
    <row r="20" spans="1:15" ht="15" x14ac:dyDescent="0.25">
      <c r="A20" s="19" t="s">
        <v>41</v>
      </c>
      <c r="B20" s="30" t="s">
        <v>42</v>
      </c>
      <c r="C20" s="31">
        <v>20000000</v>
      </c>
      <c r="D20" s="22"/>
      <c r="E20" s="23"/>
      <c r="F20" s="36"/>
      <c r="G20" s="63"/>
      <c r="H20" s="21">
        <f t="shared" si="5"/>
        <v>20000000</v>
      </c>
      <c r="I20" s="22">
        <f>SEPTIEMBRE!I20+SEPTIEMBRE!J20</f>
        <v>20000000</v>
      </c>
      <c r="J20" s="22">
        <v>0</v>
      </c>
      <c r="K20" s="21">
        <f t="shared" si="6"/>
        <v>20000000</v>
      </c>
      <c r="L20" s="16">
        <f t="shared" si="1"/>
        <v>1</v>
      </c>
      <c r="M20" s="25">
        <f t="shared" si="3"/>
        <v>20000000</v>
      </c>
      <c r="N20" s="26">
        <f>H20-K20</f>
        <v>0</v>
      </c>
      <c r="O20" s="18">
        <f>N20/H20</f>
        <v>0</v>
      </c>
    </row>
    <row r="21" spans="1:15" ht="15" x14ac:dyDescent="0.25">
      <c r="A21" s="19">
        <v>45</v>
      </c>
      <c r="B21" s="30" t="s">
        <v>42</v>
      </c>
      <c r="C21" s="31"/>
      <c r="D21" s="22"/>
      <c r="E21" s="23">
        <v>9000000</v>
      </c>
      <c r="F21" s="36">
        <v>15400000</v>
      </c>
      <c r="G21" s="63"/>
      <c r="H21" s="21">
        <f t="shared" si="5"/>
        <v>24400000</v>
      </c>
      <c r="I21" s="22">
        <f>SEPTIEMBRE!I21+SEPTIEMBRE!J21</f>
        <v>18900000</v>
      </c>
      <c r="J21" s="22"/>
      <c r="K21" s="21">
        <f t="shared" si="6"/>
        <v>18900000</v>
      </c>
      <c r="L21" s="16">
        <f t="shared" si="1"/>
        <v>0.77459016393442626</v>
      </c>
      <c r="M21" s="25">
        <f t="shared" si="3"/>
        <v>18900000</v>
      </c>
      <c r="N21" s="26">
        <f>H21-K21</f>
        <v>5500000</v>
      </c>
      <c r="O21" s="18">
        <f>N21/H21</f>
        <v>0.22540983606557377</v>
      </c>
    </row>
    <row r="22" spans="1:15" ht="15" x14ac:dyDescent="0.25">
      <c r="A22" s="19" t="s">
        <v>43</v>
      </c>
      <c r="B22" s="20" t="s">
        <v>44</v>
      </c>
      <c r="C22" s="32">
        <v>0</v>
      </c>
      <c r="D22" s="22"/>
      <c r="E22" s="23"/>
      <c r="F22" s="36"/>
      <c r="G22" s="63"/>
      <c r="H22" s="21">
        <f t="shared" si="5"/>
        <v>0</v>
      </c>
      <c r="I22" s="22">
        <f>SEPTIEMBRE!I22+SEPTIEMBRE!J22</f>
        <v>0</v>
      </c>
      <c r="J22" s="22">
        <v>0</v>
      </c>
      <c r="K22" s="21">
        <f t="shared" si="6"/>
        <v>0</v>
      </c>
      <c r="L22" s="16">
        <v>0</v>
      </c>
      <c r="M22" s="25">
        <f t="shared" si="3"/>
        <v>0</v>
      </c>
      <c r="N22" s="26">
        <f>H22-K22</f>
        <v>0</v>
      </c>
      <c r="O22" s="18">
        <v>0</v>
      </c>
    </row>
    <row r="23" spans="1:15" ht="15" x14ac:dyDescent="0.25">
      <c r="A23" s="19" t="s">
        <v>45</v>
      </c>
      <c r="B23" s="33" t="s">
        <v>46</v>
      </c>
      <c r="C23" s="31">
        <v>0</v>
      </c>
      <c r="D23" s="22"/>
      <c r="E23" s="23"/>
      <c r="F23" s="36"/>
      <c r="G23" s="63"/>
      <c r="H23" s="21">
        <f t="shared" si="5"/>
        <v>0</v>
      </c>
      <c r="I23" s="22">
        <f>SEPTIEMBRE!I23+SEPTIEMBRE!J23</f>
        <v>0</v>
      </c>
      <c r="J23" s="27">
        <v>0</v>
      </c>
      <c r="K23" s="21">
        <f t="shared" si="6"/>
        <v>0</v>
      </c>
      <c r="L23" s="16">
        <v>0</v>
      </c>
      <c r="M23" s="25">
        <f t="shared" si="3"/>
        <v>0</v>
      </c>
      <c r="N23" s="26">
        <f>H23-K23</f>
        <v>0</v>
      </c>
      <c r="O23" s="18">
        <v>0</v>
      </c>
    </row>
    <row r="24" spans="1:15" s="72" customFormat="1" ht="27.75" customHeight="1" x14ac:dyDescent="0.2">
      <c r="A24" s="65" t="s">
        <v>47</v>
      </c>
      <c r="B24" s="66" t="s">
        <v>48</v>
      </c>
      <c r="C24" s="68">
        <f t="shared" ref="C24:G24" si="8">SUM(C25:C31)</f>
        <v>26200000</v>
      </c>
      <c r="D24" s="68">
        <f t="shared" si="8"/>
        <v>0</v>
      </c>
      <c r="E24" s="68">
        <f t="shared" si="8"/>
        <v>25000000</v>
      </c>
      <c r="F24" s="68">
        <f t="shared" si="8"/>
        <v>3800000</v>
      </c>
      <c r="G24" s="68">
        <f t="shared" si="8"/>
        <v>15884952</v>
      </c>
      <c r="H24" s="68">
        <f>SUM(H25:H31)</f>
        <v>39115048</v>
      </c>
      <c r="I24" s="68">
        <f t="shared" ref="I24:J24" si="9">SUM(I25:I31)</f>
        <v>30328903</v>
      </c>
      <c r="J24" s="68">
        <f t="shared" si="9"/>
        <v>4244400</v>
      </c>
      <c r="K24" s="68">
        <f>SUM(K25:K31)</f>
        <v>34573303</v>
      </c>
      <c r="L24" s="69">
        <f t="shared" si="1"/>
        <v>0.88388752584427355</v>
      </c>
      <c r="M24" s="75">
        <f t="shared" si="3"/>
        <v>34573303</v>
      </c>
      <c r="N24" s="68">
        <f t="shared" ref="N24" si="10">SUM(N25:N31)</f>
        <v>4541745</v>
      </c>
      <c r="O24" s="71">
        <f t="shared" si="2"/>
        <v>0.11611247415572647</v>
      </c>
    </row>
    <row r="25" spans="1:15" ht="15" x14ac:dyDescent="0.25">
      <c r="A25" s="19" t="s">
        <v>49</v>
      </c>
      <c r="B25" s="33" t="s">
        <v>50</v>
      </c>
      <c r="C25" s="31">
        <v>0</v>
      </c>
      <c r="D25" s="22"/>
      <c r="E25" s="23"/>
      <c r="F25" s="36">
        <v>2000000</v>
      </c>
      <c r="G25" s="63"/>
      <c r="H25" s="21">
        <f t="shared" ref="H25:H31" si="11">C25-D25+E25+F25-G25</f>
        <v>2000000</v>
      </c>
      <c r="I25" s="22">
        <f>SEPTIEMBRE!I25+SEPTIEMBRE!J25</f>
        <v>1585000</v>
      </c>
      <c r="J25" s="27">
        <v>0</v>
      </c>
      <c r="K25" s="21">
        <f t="shared" ref="K25:K67" si="12">SUM(I25:J25)</f>
        <v>1585000</v>
      </c>
      <c r="L25" s="16">
        <v>0</v>
      </c>
      <c r="M25" s="17">
        <f t="shared" si="3"/>
        <v>1585000</v>
      </c>
      <c r="N25" s="26">
        <f t="shared" ref="N25:N31" si="13">H25-K25</f>
        <v>415000</v>
      </c>
      <c r="O25" s="18">
        <v>0</v>
      </c>
    </row>
    <row r="26" spans="1:15" ht="15" x14ac:dyDescent="0.25">
      <c r="A26" s="19">
        <v>45</v>
      </c>
      <c r="B26" s="33" t="s">
        <v>50</v>
      </c>
      <c r="C26" s="31">
        <v>0</v>
      </c>
      <c r="D26" s="22"/>
      <c r="E26" s="23"/>
      <c r="F26" s="36">
        <v>1000000</v>
      </c>
      <c r="G26" s="63"/>
      <c r="H26" s="21">
        <f t="shared" si="11"/>
        <v>1000000</v>
      </c>
      <c r="I26" s="22">
        <f>SEPTIEMBRE!I26+SEPTIEMBRE!J26</f>
        <v>0</v>
      </c>
      <c r="J26" s="27">
        <v>0</v>
      </c>
      <c r="K26" s="21"/>
      <c r="L26" s="16">
        <v>0</v>
      </c>
      <c r="M26" s="17">
        <f t="shared" si="3"/>
        <v>0</v>
      </c>
      <c r="N26" s="26">
        <f t="shared" si="13"/>
        <v>1000000</v>
      </c>
      <c r="O26" s="18">
        <v>0</v>
      </c>
    </row>
    <row r="27" spans="1:15" ht="15" x14ac:dyDescent="0.25">
      <c r="A27" s="19" t="s">
        <v>51</v>
      </c>
      <c r="B27" s="34" t="s">
        <v>52</v>
      </c>
      <c r="C27" s="31">
        <v>25000000</v>
      </c>
      <c r="D27" s="22"/>
      <c r="E27" s="23">
        <v>0</v>
      </c>
      <c r="F27" s="36"/>
      <c r="G27" s="63">
        <v>5000000</v>
      </c>
      <c r="H27" s="21">
        <f t="shared" si="11"/>
        <v>20000000</v>
      </c>
      <c r="I27" s="22">
        <f>SEPTIEMBRE!I27+SEPTIEMBRE!J27</f>
        <v>20000000</v>
      </c>
      <c r="J27" s="22"/>
      <c r="K27" s="21">
        <f t="shared" si="12"/>
        <v>20000000</v>
      </c>
      <c r="L27" s="16">
        <f t="shared" si="1"/>
        <v>1</v>
      </c>
      <c r="M27" s="25">
        <f t="shared" si="3"/>
        <v>20000000</v>
      </c>
      <c r="N27" s="26">
        <f t="shared" si="13"/>
        <v>0</v>
      </c>
      <c r="O27" s="35">
        <f t="shared" si="2"/>
        <v>0</v>
      </c>
    </row>
    <row r="28" spans="1:15" ht="15" x14ac:dyDescent="0.25">
      <c r="A28" s="19">
        <v>45</v>
      </c>
      <c r="B28" s="34" t="s">
        <v>52</v>
      </c>
      <c r="C28" s="31"/>
      <c r="D28" s="22"/>
      <c r="E28" s="23">
        <v>25000000</v>
      </c>
      <c r="F28" s="36"/>
      <c r="G28" s="63">
        <f>9280000+1604952</f>
        <v>10884952</v>
      </c>
      <c r="H28" s="21">
        <f t="shared" si="11"/>
        <v>14115048</v>
      </c>
      <c r="I28" s="22">
        <f>SEPTIEMBRE!I28+SEPTIEMBRE!J28</f>
        <v>8743903</v>
      </c>
      <c r="J28" s="22">
        <v>4244400</v>
      </c>
      <c r="K28" s="21">
        <f t="shared" si="12"/>
        <v>12988303</v>
      </c>
      <c r="L28" s="16"/>
      <c r="M28" s="25">
        <f t="shared" si="3"/>
        <v>12988303</v>
      </c>
      <c r="N28" s="26">
        <f t="shared" si="13"/>
        <v>1126745</v>
      </c>
      <c r="O28" s="35">
        <f t="shared" si="2"/>
        <v>7.9825800096464422E-2</v>
      </c>
    </row>
    <row r="29" spans="1:15" ht="15" x14ac:dyDescent="0.25">
      <c r="A29" s="19" t="s">
        <v>53</v>
      </c>
      <c r="B29" s="33" t="s">
        <v>54</v>
      </c>
      <c r="C29" s="32">
        <v>1200000</v>
      </c>
      <c r="D29" s="22"/>
      <c r="E29" s="23"/>
      <c r="F29" s="36"/>
      <c r="G29" s="64"/>
      <c r="H29" s="21">
        <f t="shared" si="11"/>
        <v>1200000</v>
      </c>
      <c r="I29" s="22">
        <f>SEPTIEMBRE!I29+SEPTIEMBRE!J29</f>
        <v>0</v>
      </c>
      <c r="J29" s="22">
        <v>0</v>
      </c>
      <c r="K29" s="21">
        <f t="shared" si="12"/>
        <v>0</v>
      </c>
      <c r="L29" s="16">
        <f t="shared" si="1"/>
        <v>0</v>
      </c>
      <c r="M29" s="17">
        <f t="shared" si="3"/>
        <v>0</v>
      </c>
      <c r="N29" s="26">
        <f t="shared" si="13"/>
        <v>1200000</v>
      </c>
      <c r="O29" s="35">
        <f>N29/H29</f>
        <v>1</v>
      </c>
    </row>
    <row r="30" spans="1:15" ht="15" x14ac:dyDescent="0.25">
      <c r="A30" s="19">
        <v>45</v>
      </c>
      <c r="B30" s="33" t="s">
        <v>54</v>
      </c>
      <c r="C30" s="32">
        <v>0</v>
      </c>
      <c r="D30" s="22"/>
      <c r="E30" s="23"/>
      <c r="F30" s="36">
        <v>800000</v>
      </c>
      <c r="G30" s="64"/>
      <c r="H30" s="21">
        <f t="shared" si="11"/>
        <v>800000</v>
      </c>
      <c r="I30" s="22">
        <f>SEPTIEMBRE!I30+SEPTIEMBRE!J30</f>
        <v>0</v>
      </c>
      <c r="J30" s="22">
        <v>0</v>
      </c>
      <c r="K30" s="21"/>
      <c r="L30" s="16"/>
      <c r="M30" s="17">
        <f t="shared" si="3"/>
        <v>0</v>
      </c>
      <c r="N30" s="26">
        <f t="shared" si="13"/>
        <v>800000</v>
      </c>
      <c r="O30" s="35">
        <f>N30/H30</f>
        <v>1</v>
      </c>
    </row>
    <row r="31" spans="1:15" ht="15" x14ac:dyDescent="0.25">
      <c r="A31" s="19" t="s">
        <v>55</v>
      </c>
      <c r="B31" s="33" t="s">
        <v>56</v>
      </c>
      <c r="C31" s="32">
        <v>0</v>
      </c>
      <c r="D31" s="22"/>
      <c r="E31" s="23"/>
      <c r="F31" s="36"/>
      <c r="G31" s="63"/>
      <c r="H31" s="21">
        <f t="shared" si="11"/>
        <v>0</v>
      </c>
      <c r="I31" s="22">
        <f>SEPTIEMBRE!I31+SEPTIEMBRE!J31</f>
        <v>0</v>
      </c>
      <c r="J31" s="22"/>
      <c r="K31" s="21">
        <f t="shared" si="12"/>
        <v>0</v>
      </c>
      <c r="L31" s="16">
        <v>0</v>
      </c>
      <c r="M31" s="17">
        <f t="shared" si="3"/>
        <v>0</v>
      </c>
      <c r="N31" s="26">
        <f t="shared" si="13"/>
        <v>0</v>
      </c>
      <c r="O31" s="35">
        <v>0</v>
      </c>
    </row>
    <row r="32" spans="1:15" s="72" customFormat="1" ht="27.75" customHeight="1" x14ac:dyDescent="0.2">
      <c r="A32" s="65" t="s">
        <v>57</v>
      </c>
      <c r="B32" s="66" t="s">
        <v>58</v>
      </c>
      <c r="C32" s="68">
        <f t="shared" ref="C32:J32" si="14">SUM(C33:C51)</f>
        <v>119922165</v>
      </c>
      <c r="D32" s="68">
        <f t="shared" si="14"/>
        <v>0</v>
      </c>
      <c r="E32" s="68">
        <f t="shared" si="14"/>
        <v>47431604</v>
      </c>
      <c r="F32" s="68">
        <f t="shared" si="14"/>
        <v>61955760</v>
      </c>
      <c r="G32" s="68">
        <f t="shared" si="14"/>
        <v>32754165</v>
      </c>
      <c r="H32" s="68">
        <f t="shared" si="14"/>
        <v>196555364</v>
      </c>
      <c r="I32" s="68">
        <f t="shared" si="14"/>
        <v>157496784</v>
      </c>
      <c r="J32" s="68">
        <f t="shared" si="14"/>
        <v>7921583</v>
      </c>
      <c r="K32" s="68">
        <f>SUM(K33:K51)</f>
        <v>165418367</v>
      </c>
      <c r="L32" s="69">
        <f t="shared" si="1"/>
        <v>0.84158663306690529</v>
      </c>
      <c r="M32" s="70">
        <f>I32+J32</f>
        <v>165418367</v>
      </c>
      <c r="N32" s="75">
        <f>SUM(N33:N51)</f>
        <v>31136997</v>
      </c>
      <c r="O32" s="71">
        <f t="shared" si="2"/>
        <v>0.15841336693309474</v>
      </c>
    </row>
    <row r="33" spans="1:15" ht="15" x14ac:dyDescent="0.25">
      <c r="A33" s="19" t="s">
        <v>59</v>
      </c>
      <c r="B33" s="33" t="s">
        <v>60</v>
      </c>
      <c r="C33" s="31">
        <v>10000000</v>
      </c>
      <c r="D33" s="22"/>
      <c r="E33" s="23">
        <v>0</v>
      </c>
      <c r="F33" s="36">
        <v>2500000</v>
      </c>
      <c r="G33" s="63"/>
      <c r="H33" s="21">
        <f t="shared" ref="H33:H51" si="15">C33-D33+E33+F33-G33</f>
        <v>12500000</v>
      </c>
      <c r="I33" s="22">
        <f>SEPTIEMBRE!I33+SEPTIEMBRE!J33</f>
        <v>12500000</v>
      </c>
      <c r="J33" s="22">
        <v>0</v>
      </c>
      <c r="K33" s="21">
        <f t="shared" si="12"/>
        <v>12500000</v>
      </c>
      <c r="L33" s="16">
        <f t="shared" si="1"/>
        <v>1</v>
      </c>
      <c r="M33" s="25">
        <f t="shared" si="3"/>
        <v>12500000</v>
      </c>
      <c r="N33" s="26">
        <f t="shared" ref="N33:N47" si="16">H33-K33</f>
        <v>0</v>
      </c>
      <c r="O33" s="35">
        <f t="shared" si="2"/>
        <v>0</v>
      </c>
    </row>
    <row r="34" spans="1:15" ht="15" x14ac:dyDescent="0.25">
      <c r="A34" s="19">
        <v>45</v>
      </c>
      <c r="B34" s="33" t="s">
        <v>60</v>
      </c>
      <c r="C34" s="31"/>
      <c r="D34" s="22"/>
      <c r="E34" s="23">
        <v>15000000</v>
      </c>
      <c r="F34" s="36"/>
      <c r="G34" s="63">
        <f>8000000+420000</f>
        <v>8420000</v>
      </c>
      <c r="H34" s="21">
        <f t="shared" si="15"/>
        <v>6580000</v>
      </c>
      <c r="I34" s="22">
        <f>SEPTIEMBRE!I34+SEPTIEMBRE!J34</f>
        <v>3066891</v>
      </c>
      <c r="J34" s="22">
        <v>1000000</v>
      </c>
      <c r="K34" s="21">
        <f t="shared" si="12"/>
        <v>4066891</v>
      </c>
      <c r="L34" s="16">
        <f t="shared" si="1"/>
        <v>0.61806854103343467</v>
      </c>
      <c r="M34" s="25">
        <f t="shared" si="3"/>
        <v>4066891</v>
      </c>
      <c r="N34" s="26">
        <f t="shared" si="16"/>
        <v>2513109</v>
      </c>
      <c r="O34" s="35">
        <f t="shared" si="2"/>
        <v>0.38193145896656533</v>
      </c>
    </row>
    <row r="35" spans="1:15" ht="15" x14ac:dyDescent="0.25">
      <c r="A35" s="19" t="s">
        <v>61</v>
      </c>
      <c r="B35" s="33" t="s">
        <v>62</v>
      </c>
      <c r="C35" s="31">
        <v>25000000</v>
      </c>
      <c r="D35" s="22"/>
      <c r="E35" s="23">
        <v>0</v>
      </c>
      <c r="F35" s="36">
        <f>30000000+5000000+4000000+17230315</f>
        <v>56230315</v>
      </c>
      <c r="G35" s="63"/>
      <c r="H35" s="21">
        <f t="shared" si="15"/>
        <v>81230315</v>
      </c>
      <c r="I35" s="22">
        <f>SEPTIEMBRE!I35+SEPTIEMBRE!J35</f>
        <v>62899229</v>
      </c>
      <c r="J35" s="22">
        <v>4803685</v>
      </c>
      <c r="K35" s="21">
        <f t="shared" si="12"/>
        <v>67702914</v>
      </c>
      <c r="L35" s="16">
        <f t="shared" si="1"/>
        <v>0.83346856404533209</v>
      </c>
      <c r="M35" s="25">
        <f>J35+I35</f>
        <v>67702914</v>
      </c>
      <c r="N35" s="26">
        <f t="shared" si="16"/>
        <v>13527401</v>
      </c>
      <c r="O35" s="35">
        <f t="shared" si="2"/>
        <v>0.16653143595466791</v>
      </c>
    </row>
    <row r="36" spans="1:15" ht="15" x14ac:dyDescent="0.25">
      <c r="A36" s="19">
        <v>45</v>
      </c>
      <c r="B36" s="33" t="s">
        <v>62</v>
      </c>
      <c r="C36" s="31"/>
      <c r="D36" s="22"/>
      <c r="E36" s="23">
        <v>32431604</v>
      </c>
      <c r="F36" s="36"/>
      <c r="G36" s="63"/>
      <c r="H36" s="21">
        <f t="shared" si="15"/>
        <v>32431604</v>
      </c>
      <c r="I36" s="22">
        <f>SEPTIEMBRE!I36+SEPTIEMBRE!J36</f>
        <v>32431604</v>
      </c>
      <c r="J36" s="22"/>
      <c r="K36" s="21">
        <f t="shared" si="12"/>
        <v>32431604</v>
      </c>
      <c r="L36" s="16">
        <f t="shared" si="1"/>
        <v>1</v>
      </c>
      <c r="M36" s="25">
        <f>J36+I36</f>
        <v>32431604</v>
      </c>
      <c r="N36" s="26">
        <f t="shared" si="16"/>
        <v>0</v>
      </c>
      <c r="O36" s="35">
        <f t="shared" si="2"/>
        <v>0</v>
      </c>
    </row>
    <row r="37" spans="1:15" ht="15" x14ac:dyDescent="0.25">
      <c r="A37" s="19" t="s">
        <v>63</v>
      </c>
      <c r="B37" s="33" t="s">
        <v>64</v>
      </c>
      <c r="C37" s="31">
        <v>4400000</v>
      </c>
      <c r="D37" s="22"/>
      <c r="E37" s="23"/>
      <c r="F37" s="36"/>
      <c r="G37" s="63">
        <v>2000000</v>
      </c>
      <c r="H37" s="21">
        <f t="shared" si="15"/>
        <v>2400000</v>
      </c>
      <c r="I37" s="22">
        <f>SEPTIEMBRE!I37+SEPTIEMBRE!J37</f>
        <v>2197069</v>
      </c>
      <c r="J37" s="43">
        <v>200000</v>
      </c>
      <c r="K37" s="21">
        <f t="shared" si="12"/>
        <v>2397069</v>
      </c>
      <c r="L37" s="16">
        <f t="shared" si="1"/>
        <v>0.99877875000000005</v>
      </c>
      <c r="M37" s="25">
        <f t="shared" si="3"/>
        <v>2397069</v>
      </c>
      <c r="N37" s="26">
        <f t="shared" si="16"/>
        <v>2931</v>
      </c>
      <c r="O37" s="35">
        <f t="shared" si="2"/>
        <v>1.2212499999999999E-3</v>
      </c>
    </row>
    <row r="38" spans="1:15" ht="15" x14ac:dyDescent="0.25">
      <c r="A38" s="19" t="s">
        <v>65</v>
      </c>
      <c r="B38" s="33" t="s">
        <v>66</v>
      </c>
      <c r="C38" s="32">
        <v>10000000</v>
      </c>
      <c r="D38" s="22"/>
      <c r="E38" s="23"/>
      <c r="F38" s="36"/>
      <c r="G38" s="63"/>
      <c r="H38" s="21">
        <f t="shared" si="15"/>
        <v>10000000</v>
      </c>
      <c r="I38" s="22">
        <f>SEPTIEMBRE!I38+SEPTIEMBRE!J38</f>
        <v>7953302</v>
      </c>
      <c r="J38" s="43">
        <v>744500</v>
      </c>
      <c r="K38" s="21">
        <f t="shared" si="12"/>
        <v>8697802</v>
      </c>
      <c r="L38" s="16">
        <f t="shared" si="1"/>
        <v>0.8697802</v>
      </c>
      <c r="M38" s="25">
        <f t="shared" si="3"/>
        <v>8697802</v>
      </c>
      <c r="N38" s="26">
        <f t="shared" si="16"/>
        <v>1302198</v>
      </c>
      <c r="O38" s="18">
        <f t="shared" si="2"/>
        <v>0.1302198</v>
      </c>
    </row>
    <row r="39" spans="1:15" ht="15" x14ac:dyDescent="0.25">
      <c r="A39" s="19" t="s">
        <v>67</v>
      </c>
      <c r="B39" s="33" t="s">
        <v>68</v>
      </c>
      <c r="C39" s="32">
        <v>4800000</v>
      </c>
      <c r="D39" s="22"/>
      <c r="E39" s="23"/>
      <c r="F39" s="36">
        <v>1412000</v>
      </c>
      <c r="G39" s="63"/>
      <c r="H39" s="21">
        <f t="shared" si="15"/>
        <v>6212000</v>
      </c>
      <c r="I39" s="22">
        <f>SEPTIEMBRE!I39+SEPTIEMBRE!J39</f>
        <v>4669649</v>
      </c>
      <c r="J39" s="43">
        <v>513878</v>
      </c>
      <c r="K39" s="21">
        <f t="shared" si="12"/>
        <v>5183527</v>
      </c>
      <c r="L39" s="16">
        <f t="shared" si="1"/>
        <v>0.83443770122343852</v>
      </c>
      <c r="M39" s="25">
        <f t="shared" si="3"/>
        <v>5183527</v>
      </c>
      <c r="N39" s="26">
        <f t="shared" si="16"/>
        <v>1028473</v>
      </c>
      <c r="O39" s="18">
        <f t="shared" si="2"/>
        <v>0.16556229877656151</v>
      </c>
    </row>
    <row r="40" spans="1:15" ht="15" x14ac:dyDescent="0.25">
      <c r="A40" s="19" t="s">
        <v>69</v>
      </c>
      <c r="B40" s="33" t="s">
        <v>70</v>
      </c>
      <c r="C40" s="32">
        <v>3200000</v>
      </c>
      <c r="D40" s="22"/>
      <c r="E40" s="23"/>
      <c r="F40" s="36"/>
      <c r="G40" s="63">
        <v>1412000</v>
      </c>
      <c r="H40" s="21">
        <f t="shared" si="15"/>
        <v>1788000</v>
      </c>
      <c r="I40" s="22">
        <f>SEPTIEMBRE!I40+SEPTIEMBRE!J40</f>
        <v>867595</v>
      </c>
      <c r="J40" s="27">
        <f>98510+61010</f>
        <v>159520</v>
      </c>
      <c r="K40" s="21">
        <f t="shared" si="12"/>
        <v>1027115</v>
      </c>
      <c r="L40" s="16">
        <f t="shared" si="1"/>
        <v>0.57444910514541392</v>
      </c>
      <c r="M40" s="25">
        <f t="shared" si="3"/>
        <v>1027115</v>
      </c>
      <c r="N40" s="26">
        <f t="shared" si="16"/>
        <v>760885</v>
      </c>
      <c r="O40" s="18">
        <v>0</v>
      </c>
    </row>
    <row r="41" spans="1:15" ht="15" x14ac:dyDescent="0.25">
      <c r="A41" s="19" t="s">
        <v>71</v>
      </c>
      <c r="B41" s="34" t="s">
        <v>72</v>
      </c>
      <c r="C41" s="32">
        <v>3822165</v>
      </c>
      <c r="D41" s="22"/>
      <c r="E41" s="23"/>
      <c r="F41" s="36"/>
      <c r="G41" s="63">
        <v>3322165</v>
      </c>
      <c r="H41" s="21">
        <f t="shared" si="15"/>
        <v>500000</v>
      </c>
      <c r="I41" s="22">
        <f>SEPTIEMBRE!I41+SEPTIEMBRE!J41</f>
        <v>0</v>
      </c>
      <c r="J41" s="22">
        <v>500000</v>
      </c>
      <c r="K41" s="21">
        <f t="shared" si="12"/>
        <v>500000</v>
      </c>
      <c r="L41" s="16">
        <f t="shared" si="1"/>
        <v>1</v>
      </c>
      <c r="M41" s="25">
        <f t="shared" si="3"/>
        <v>500000</v>
      </c>
      <c r="N41" s="26">
        <f t="shared" si="16"/>
        <v>0</v>
      </c>
      <c r="O41" s="18">
        <f t="shared" ref="O41:O71" si="17">N41/H41</f>
        <v>0</v>
      </c>
    </row>
    <row r="42" spans="1:15" ht="15" x14ac:dyDescent="0.25">
      <c r="A42" s="19" t="s">
        <v>73</v>
      </c>
      <c r="B42" s="33" t="s">
        <v>74</v>
      </c>
      <c r="C42" s="32">
        <v>0</v>
      </c>
      <c r="D42" s="22"/>
      <c r="E42" s="23"/>
      <c r="F42" s="38"/>
      <c r="G42" s="63"/>
      <c r="H42" s="21">
        <f t="shared" si="15"/>
        <v>0</v>
      </c>
      <c r="I42" s="22">
        <f>SEPTIEMBRE!I42+SEPTIEMBRE!J42</f>
        <v>0</v>
      </c>
      <c r="J42" s="22"/>
      <c r="K42" s="21">
        <f t="shared" si="12"/>
        <v>0</v>
      </c>
      <c r="L42" s="16">
        <v>0</v>
      </c>
      <c r="M42" s="25">
        <f t="shared" si="3"/>
        <v>0</v>
      </c>
      <c r="N42" s="26">
        <f t="shared" si="16"/>
        <v>0</v>
      </c>
      <c r="O42" s="18">
        <v>0</v>
      </c>
    </row>
    <row r="43" spans="1:15" ht="15" x14ac:dyDescent="0.25">
      <c r="A43" s="19" t="s">
        <v>75</v>
      </c>
      <c r="B43" s="33" t="s">
        <v>76</v>
      </c>
      <c r="C43" s="32">
        <v>11000000</v>
      </c>
      <c r="D43" s="22"/>
      <c r="E43" s="23"/>
      <c r="F43" s="36"/>
      <c r="G43" s="63">
        <v>3600000</v>
      </c>
      <c r="H43" s="21">
        <f t="shared" si="15"/>
        <v>7400000</v>
      </c>
      <c r="I43" s="22">
        <f>SEPTIEMBRE!I43+SEPTIEMBRE!J43</f>
        <v>7400000</v>
      </c>
      <c r="J43" s="45"/>
      <c r="K43" s="21">
        <f t="shared" si="12"/>
        <v>7400000</v>
      </c>
      <c r="L43" s="16">
        <f t="shared" si="1"/>
        <v>1</v>
      </c>
      <c r="M43" s="25">
        <f t="shared" si="3"/>
        <v>7400000</v>
      </c>
      <c r="N43" s="26">
        <f t="shared" si="16"/>
        <v>0</v>
      </c>
      <c r="O43" s="18">
        <f t="shared" si="17"/>
        <v>0</v>
      </c>
    </row>
    <row r="44" spans="1:15" ht="15" x14ac:dyDescent="0.25">
      <c r="A44" s="19">
        <v>45</v>
      </c>
      <c r="B44" s="33" t="s">
        <v>76</v>
      </c>
      <c r="C44" s="32">
        <v>0</v>
      </c>
      <c r="D44" s="22"/>
      <c r="E44" s="23"/>
      <c r="F44" s="36">
        <f>513445+420000</f>
        <v>933445</v>
      </c>
      <c r="G44" s="63"/>
      <c r="H44" s="21">
        <f t="shared" si="15"/>
        <v>933445</v>
      </c>
      <c r="I44" s="22">
        <f>SEPTIEMBRE!I44+SEPTIEMBRE!J44</f>
        <v>513445</v>
      </c>
      <c r="J44" s="45"/>
      <c r="K44" s="21">
        <f t="shared" si="12"/>
        <v>513445</v>
      </c>
      <c r="L44" s="16">
        <f t="shared" si="1"/>
        <v>0.55005383284499887</v>
      </c>
      <c r="M44" s="25">
        <f t="shared" si="3"/>
        <v>513445</v>
      </c>
      <c r="N44" s="26">
        <f t="shared" si="16"/>
        <v>420000</v>
      </c>
      <c r="O44" s="18">
        <f t="shared" si="17"/>
        <v>0.44994616715500108</v>
      </c>
    </row>
    <row r="45" spans="1:15" ht="15" x14ac:dyDescent="0.25">
      <c r="A45" s="19" t="s">
        <v>77</v>
      </c>
      <c r="B45" s="34" t="s">
        <v>78</v>
      </c>
      <c r="C45" s="32">
        <v>20700000</v>
      </c>
      <c r="D45" s="22"/>
      <c r="E45" s="23"/>
      <c r="F45" s="36"/>
      <c r="G45" s="63">
        <v>10000000</v>
      </c>
      <c r="H45" s="21">
        <f t="shared" si="15"/>
        <v>10700000</v>
      </c>
      <c r="I45" s="22">
        <f>SEPTIEMBRE!I45+SEPTIEMBRE!J45</f>
        <v>0</v>
      </c>
      <c r="J45" s="45">
        <v>0</v>
      </c>
      <c r="K45" s="21">
        <f t="shared" si="12"/>
        <v>0</v>
      </c>
      <c r="L45" s="16">
        <f t="shared" si="1"/>
        <v>0</v>
      </c>
      <c r="M45" s="25">
        <f t="shared" si="3"/>
        <v>0</v>
      </c>
      <c r="N45" s="26">
        <f t="shared" si="16"/>
        <v>10700000</v>
      </c>
      <c r="O45" s="35">
        <f t="shared" si="17"/>
        <v>1</v>
      </c>
    </row>
    <row r="46" spans="1:15" ht="15" x14ac:dyDescent="0.25">
      <c r="A46" s="19" t="s">
        <v>79</v>
      </c>
      <c r="B46" s="33" t="s">
        <v>80</v>
      </c>
      <c r="C46" s="32">
        <v>3000000</v>
      </c>
      <c r="D46" s="22"/>
      <c r="E46" s="23"/>
      <c r="F46" s="36"/>
      <c r="G46" s="63"/>
      <c r="H46" s="21">
        <f t="shared" si="15"/>
        <v>3000000</v>
      </c>
      <c r="I46" s="22">
        <f>SEPTIEMBRE!I46+SEPTIEMBRE!J46</f>
        <v>2998000</v>
      </c>
      <c r="J46" s="45">
        <v>0</v>
      </c>
      <c r="K46" s="21">
        <f t="shared" si="12"/>
        <v>2998000</v>
      </c>
      <c r="L46" s="16">
        <f t="shared" si="1"/>
        <v>0.9993333333333333</v>
      </c>
      <c r="M46" s="25">
        <f t="shared" si="3"/>
        <v>2998000</v>
      </c>
      <c r="N46" s="26">
        <f t="shared" si="16"/>
        <v>2000</v>
      </c>
      <c r="O46" s="35">
        <f t="shared" si="17"/>
        <v>6.6666666666666664E-4</v>
      </c>
    </row>
    <row r="47" spans="1:15" ht="15" x14ac:dyDescent="0.25">
      <c r="A47" s="19" t="s">
        <v>81</v>
      </c>
      <c r="B47" s="33" t="s">
        <v>82</v>
      </c>
      <c r="C47" s="32">
        <v>20000000</v>
      </c>
      <c r="D47" s="22"/>
      <c r="E47" s="23"/>
      <c r="F47" s="36"/>
      <c r="G47" s="63"/>
      <c r="H47" s="21">
        <f t="shared" si="15"/>
        <v>20000000</v>
      </c>
      <c r="I47" s="22">
        <f>SEPTIEMBRE!I47+SEPTIEMBRE!J47</f>
        <v>20000000</v>
      </c>
      <c r="J47" s="22">
        <v>0</v>
      </c>
      <c r="K47" s="21">
        <f t="shared" si="12"/>
        <v>20000000</v>
      </c>
      <c r="L47" s="16">
        <f t="shared" si="1"/>
        <v>1</v>
      </c>
      <c r="M47" s="25">
        <f t="shared" si="3"/>
        <v>20000000</v>
      </c>
      <c r="N47" s="26">
        <f t="shared" si="16"/>
        <v>0</v>
      </c>
      <c r="O47" s="18">
        <f t="shared" si="17"/>
        <v>0</v>
      </c>
    </row>
    <row r="48" spans="1:15" ht="15" x14ac:dyDescent="0.25">
      <c r="A48" s="19" t="s">
        <v>83</v>
      </c>
      <c r="B48" s="33" t="s">
        <v>84</v>
      </c>
      <c r="C48" s="32">
        <v>4000000</v>
      </c>
      <c r="D48" s="22"/>
      <c r="E48" s="23"/>
      <c r="F48" s="36"/>
      <c r="G48" s="63">
        <v>4000000</v>
      </c>
      <c r="H48" s="21">
        <f t="shared" si="15"/>
        <v>0</v>
      </c>
      <c r="I48" s="22">
        <f>SEPTIEMBRE!I48+SEPTIEMBRE!J48</f>
        <v>0</v>
      </c>
      <c r="J48" s="22">
        <v>0</v>
      </c>
      <c r="K48" s="21">
        <f t="shared" si="12"/>
        <v>0</v>
      </c>
      <c r="L48" s="16">
        <v>0</v>
      </c>
      <c r="M48" s="25">
        <f t="shared" si="3"/>
        <v>0</v>
      </c>
      <c r="N48" s="26">
        <f>H48-K48</f>
        <v>0</v>
      </c>
      <c r="O48" s="18">
        <v>0</v>
      </c>
    </row>
    <row r="49" spans="1:17" ht="15" x14ac:dyDescent="0.25">
      <c r="A49" s="19" t="s">
        <v>85</v>
      </c>
      <c r="B49" s="33" t="s">
        <v>86</v>
      </c>
      <c r="C49" s="32">
        <v>0</v>
      </c>
      <c r="D49" s="22"/>
      <c r="E49" s="23"/>
      <c r="F49" s="36"/>
      <c r="G49" s="63"/>
      <c r="H49" s="21">
        <f t="shared" si="15"/>
        <v>0</v>
      </c>
      <c r="I49" s="22">
        <f>SEPTIEMBRE!I49+SEPTIEMBRE!J49</f>
        <v>0</v>
      </c>
      <c r="J49" s="22">
        <v>0</v>
      </c>
      <c r="K49" s="21">
        <f t="shared" si="12"/>
        <v>0</v>
      </c>
      <c r="L49" s="16">
        <v>0</v>
      </c>
      <c r="M49" s="25">
        <f t="shared" si="3"/>
        <v>0</v>
      </c>
      <c r="N49" s="26">
        <f>H49-K49</f>
        <v>0</v>
      </c>
      <c r="O49" s="18">
        <v>0</v>
      </c>
    </row>
    <row r="50" spans="1:17" ht="15" x14ac:dyDescent="0.25">
      <c r="A50" s="183">
        <v>2020120215</v>
      </c>
      <c r="B50" s="33" t="s">
        <v>126</v>
      </c>
      <c r="C50" s="182">
        <v>0</v>
      </c>
      <c r="D50" s="22"/>
      <c r="E50" s="23"/>
      <c r="F50" s="36">
        <v>0</v>
      </c>
      <c r="G50" s="63"/>
      <c r="H50" s="21">
        <f t="shared" si="15"/>
        <v>0</v>
      </c>
      <c r="I50" s="22">
        <f>SEPTIEMBRE!I50+SEPTIEMBRE!J50</f>
        <v>0</v>
      </c>
      <c r="J50" s="22">
        <v>0</v>
      </c>
      <c r="K50" s="21">
        <f t="shared" si="12"/>
        <v>0</v>
      </c>
      <c r="L50" s="16">
        <v>0</v>
      </c>
      <c r="M50" s="25">
        <f t="shared" si="3"/>
        <v>0</v>
      </c>
      <c r="N50" s="26">
        <f>H50-K50</f>
        <v>0</v>
      </c>
      <c r="O50" s="18">
        <v>0</v>
      </c>
    </row>
    <row r="51" spans="1:17" ht="15" x14ac:dyDescent="0.25">
      <c r="A51" s="183">
        <v>45</v>
      </c>
      <c r="B51" s="33" t="s">
        <v>126</v>
      </c>
      <c r="C51" s="182">
        <v>0</v>
      </c>
      <c r="D51" s="22"/>
      <c r="E51" s="23"/>
      <c r="F51" s="36">
        <v>880000</v>
      </c>
      <c r="G51" s="63"/>
      <c r="H51" s="21">
        <f t="shared" si="15"/>
        <v>880000</v>
      </c>
      <c r="I51" s="22">
        <f>SEPTIEMBRE!I51+SEPTIEMBRE!J51</f>
        <v>0</v>
      </c>
      <c r="J51" s="22">
        <v>0</v>
      </c>
      <c r="K51" s="21">
        <f t="shared" si="12"/>
        <v>0</v>
      </c>
      <c r="L51" s="16">
        <v>0</v>
      </c>
      <c r="M51" s="25">
        <f t="shared" si="3"/>
        <v>0</v>
      </c>
      <c r="N51" s="26">
        <f>H51-K51</f>
        <v>880000</v>
      </c>
      <c r="O51" s="18">
        <v>0</v>
      </c>
    </row>
    <row r="52" spans="1:17" s="72" customFormat="1" ht="27.75" customHeight="1" x14ac:dyDescent="0.2">
      <c r="A52" s="65" t="s">
        <v>87</v>
      </c>
      <c r="B52" s="82" t="s">
        <v>88</v>
      </c>
      <c r="C52" s="73">
        <f>SUM(C53:C56)</f>
        <v>115800000</v>
      </c>
      <c r="D52" s="73">
        <f t="shared" ref="D52:J52" si="18">SUM(D53:D56)</f>
        <v>30000000</v>
      </c>
      <c r="E52" s="73">
        <f t="shared" si="18"/>
        <v>0</v>
      </c>
      <c r="F52" s="73">
        <f t="shared" si="18"/>
        <v>0</v>
      </c>
      <c r="G52" s="73">
        <f t="shared" si="18"/>
        <v>0</v>
      </c>
      <c r="H52" s="73">
        <f t="shared" si="18"/>
        <v>115800000</v>
      </c>
      <c r="I52" s="73">
        <f t="shared" si="18"/>
        <v>70742020</v>
      </c>
      <c r="J52" s="73">
        <f t="shared" si="18"/>
        <v>2701456</v>
      </c>
      <c r="K52" s="68">
        <f t="shared" ref="K52" si="19">K53+K54+K55+K56</f>
        <v>73443476</v>
      </c>
      <c r="L52" s="69">
        <f t="shared" si="1"/>
        <v>0.634226908462867</v>
      </c>
      <c r="M52" s="73">
        <f t="shared" si="3"/>
        <v>73443476</v>
      </c>
      <c r="N52" s="73">
        <f t="shared" ref="N52" si="20">SUM(N53:N56)</f>
        <v>12356524</v>
      </c>
      <c r="O52" s="71">
        <f t="shared" si="17"/>
        <v>0.10670573402417961</v>
      </c>
    </row>
    <row r="53" spans="1:17" ht="15" x14ac:dyDescent="0.25">
      <c r="A53" s="19" t="s">
        <v>89</v>
      </c>
      <c r="B53" s="33" t="s">
        <v>90</v>
      </c>
      <c r="C53" s="21">
        <v>33000000</v>
      </c>
      <c r="D53" s="22">
        <v>30000000</v>
      </c>
      <c r="E53" s="23"/>
      <c r="F53" s="36"/>
      <c r="G53" s="63"/>
      <c r="H53" s="21">
        <f>C53+E53+F53-G53</f>
        <v>33000000</v>
      </c>
      <c r="I53" s="22">
        <f>SEPTIEMBRE!I53+SEPTIEMBRE!J53</f>
        <v>2092310</v>
      </c>
      <c r="J53" s="44">
        <v>0</v>
      </c>
      <c r="K53" s="21">
        <f t="shared" si="12"/>
        <v>2092310</v>
      </c>
      <c r="L53" s="16">
        <f t="shared" si="1"/>
        <v>6.3403333333333339E-2</v>
      </c>
      <c r="M53" s="25">
        <f t="shared" si="3"/>
        <v>2092310</v>
      </c>
      <c r="N53" s="26">
        <f>H53-K53-D53</f>
        <v>907690</v>
      </c>
      <c r="O53" s="18">
        <f t="shared" si="17"/>
        <v>2.7505757575757576E-2</v>
      </c>
    </row>
    <row r="54" spans="1:17" ht="15" x14ac:dyDescent="0.25">
      <c r="A54" s="19" t="s">
        <v>91</v>
      </c>
      <c r="B54" s="33" t="s">
        <v>92</v>
      </c>
      <c r="C54" s="21">
        <v>38000000</v>
      </c>
      <c r="D54" s="22"/>
      <c r="E54" s="23"/>
      <c r="F54" s="36"/>
      <c r="G54" s="63"/>
      <c r="H54" s="21">
        <f>C54-D54+E54+F54-G54</f>
        <v>38000000</v>
      </c>
      <c r="I54" s="22">
        <f>SEPTIEMBRE!I54+SEPTIEMBRE!J54</f>
        <v>31286198</v>
      </c>
      <c r="J54" s="43">
        <f>3348793-647337</f>
        <v>2701456</v>
      </c>
      <c r="K54" s="21">
        <f t="shared" si="12"/>
        <v>33987654</v>
      </c>
      <c r="L54" s="16">
        <f t="shared" si="1"/>
        <v>0.894411947368421</v>
      </c>
      <c r="M54" s="25">
        <f t="shared" si="3"/>
        <v>33987654</v>
      </c>
      <c r="N54" s="26">
        <f>H54-K54</f>
        <v>4012346</v>
      </c>
      <c r="O54" s="18">
        <f t="shared" si="17"/>
        <v>0.10558805263157894</v>
      </c>
      <c r="Q54" s="37"/>
    </row>
    <row r="55" spans="1:17" ht="15" x14ac:dyDescent="0.25">
      <c r="A55" s="28">
        <v>2020110304</v>
      </c>
      <c r="B55" s="33" t="s">
        <v>93</v>
      </c>
      <c r="C55" s="21">
        <v>36800000</v>
      </c>
      <c r="D55" s="22"/>
      <c r="E55" s="23"/>
      <c r="F55" s="36"/>
      <c r="G55" s="63"/>
      <c r="H55" s="21">
        <f>C55-D55+E55+F55-G55</f>
        <v>36800000</v>
      </c>
      <c r="I55" s="22">
        <f>SEPTIEMBRE!I55+SEPTIEMBRE!J55</f>
        <v>36800000</v>
      </c>
      <c r="J55" s="43">
        <v>0</v>
      </c>
      <c r="K55" s="21">
        <f t="shared" si="12"/>
        <v>36800000</v>
      </c>
      <c r="L55" s="16">
        <f t="shared" si="1"/>
        <v>1</v>
      </c>
      <c r="M55" s="25">
        <f t="shared" si="3"/>
        <v>36800000</v>
      </c>
      <c r="N55" s="26">
        <f>H55-K55</f>
        <v>0</v>
      </c>
      <c r="O55" s="18">
        <f t="shared" si="17"/>
        <v>0</v>
      </c>
      <c r="Q55" s="37"/>
    </row>
    <row r="56" spans="1:17" ht="15" x14ac:dyDescent="0.25">
      <c r="A56" s="28">
        <v>2020110305</v>
      </c>
      <c r="B56" s="33" t="s">
        <v>94</v>
      </c>
      <c r="C56" s="21">
        <v>8000000</v>
      </c>
      <c r="D56" s="15"/>
      <c r="E56" s="23"/>
      <c r="F56" s="36"/>
      <c r="G56" s="46"/>
      <c r="H56" s="21">
        <f>C56-D56+E56+F56-G56</f>
        <v>8000000</v>
      </c>
      <c r="I56" s="22">
        <f>SEPTIEMBRE!I56+SEPTIEMBRE!J56</f>
        <v>563512</v>
      </c>
      <c r="J56" s="21">
        <v>0</v>
      </c>
      <c r="K56" s="21">
        <f t="shared" si="12"/>
        <v>563512</v>
      </c>
      <c r="L56" s="16">
        <f t="shared" si="1"/>
        <v>7.0439000000000002E-2</v>
      </c>
      <c r="M56" s="25">
        <f t="shared" si="3"/>
        <v>563512</v>
      </c>
      <c r="N56" s="26">
        <f>H56-K56</f>
        <v>7436488</v>
      </c>
      <c r="O56" s="18">
        <f t="shared" si="17"/>
        <v>0.92956099999999997</v>
      </c>
      <c r="Q56" s="37"/>
    </row>
    <row r="57" spans="1:17" s="72" customFormat="1" ht="27.75" customHeight="1" x14ac:dyDescent="0.2">
      <c r="A57" s="65">
        <v>20201104</v>
      </c>
      <c r="B57" s="83" t="s">
        <v>96</v>
      </c>
      <c r="C57" s="73">
        <f>SUM(C58:C67)</f>
        <v>100800000</v>
      </c>
      <c r="D57" s="73">
        <f t="shared" ref="D57:H57" si="21">SUM(D58:D67)</f>
        <v>16000000</v>
      </c>
      <c r="E57" s="73">
        <f t="shared" si="21"/>
        <v>0</v>
      </c>
      <c r="F57" s="73">
        <f t="shared" si="21"/>
        <v>0</v>
      </c>
      <c r="G57" s="73">
        <f t="shared" si="21"/>
        <v>0</v>
      </c>
      <c r="H57" s="73">
        <f t="shared" si="21"/>
        <v>100800000</v>
      </c>
      <c r="I57" s="68">
        <f>SUM(I58:I67)</f>
        <v>46190818</v>
      </c>
      <c r="J57" s="68">
        <f>SUM(J58:J67)</f>
        <v>8384145</v>
      </c>
      <c r="K57" s="68">
        <f t="shared" si="12"/>
        <v>54574963</v>
      </c>
      <c r="L57" s="69">
        <f t="shared" si="1"/>
        <v>0.54141828373015877</v>
      </c>
      <c r="M57" s="70">
        <f t="shared" si="3"/>
        <v>54574963</v>
      </c>
      <c r="N57" s="75">
        <f>SUM(N58:N67)</f>
        <v>30225037</v>
      </c>
      <c r="O57" s="71">
        <f t="shared" si="17"/>
        <v>0.29985155753968257</v>
      </c>
      <c r="Q57" s="79"/>
    </row>
    <row r="58" spans="1:17" ht="15" x14ac:dyDescent="0.25">
      <c r="A58" s="78" t="s">
        <v>97</v>
      </c>
      <c r="B58" s="33" t="s">
        <v>98</v>
      </c>
      <c r="C58" s="31">
        <v>21000000</v>
      </c>
      <c r="D58" s="22">
        <v>16000000</v>
      </c>
      <c r="E58" s="23"/>
      <c r="F58" s="36"/>
      <c r="G58" s="63"/>
      <c r="H58" s="21">
        <f>C58+E58+F58-G58</f>
        <v>21000000</v>
      </c>
      <c r="I58" s="22">
        <f>SEPTIEMBRE!I58+SEPTIEMBRE!J58</f>
        <v>4435100</v>
      </c>
      <c r="J58" s="27">
        <v>0</v>
      </c>
      <c r="K58" s="21">
        <f t="shared" si="12"/>
        <v>4435100</v>
      </c>
      <c r="L58" s="16">
        <f t="shared" si="1"/>
        <v>0.2111952380952381</v>
      </c>
      <c r="M58" s="25">
        <f t="shared" si="3"/>
        <v>4435100</v>
      </c>
      <c r="N58" s="26">
        <f>H58-K58-D58</f>
        <v>564900</v>
      </c>
      <c r="O58" s="18">
        <f t="shared" si="17"/>
        <v>2.69E-2</v>
      </c>
      <c r="Q58" s="37"/>
    </row>
    <row r="59" spans="1:17" ht="15" x14ac:dyDescent="0.25">
      <c r="A59" s="19" t="s">
        <v>99</v>
      </c>
      <c r="B59" s="33" t="s">
        <v>92</v>
      </c>
      <c r="C59" s="31">
        <v>0</v>
      </c>
      <c r="D59" s="22"/>
      <c r="E59" s="23"/>
      <c r="F59" s="36"/>
      <c r="G59" s="63"/>
      <c r="H59" s="21">
        <f t="shared" ref="H59:H70" si="22">C59-D59+E59+F59-G59</f>
        <v>0</v>
      </c>
      <c r="I59" s="22">
        <f>SEPTIEMBRE!I59+SEPTIEMBRE!J59</f>
        <v>0</v>
      </c>
      <c r="J59" s="22">
        <v>0</v>
      </c>
      <c r="K59" s="21">
        <f t="shared" si="12"/>
        <v>0</v>
      </c>
      <c r="L59" s="16">
        <v>0</v>
      </c>
      <c r="M59" s="17">
        <f t="shared" si="3"/>
        <v>0</v>
      </c>
      <c r="N59" s="26">
        <f t="shared" ref="N59:N70" si="23">H59-K59</f>
        <v>0</v>
      </c>
      <c r="O59" s="18">
        <v>0</v>
      </c>
      <c r="Q59" s="37"/>
    </row>
    <row r="60" spans="1:17" ht="15" x14ac:dyDescent="0.25">
      <c r="A60" s="19" t="s">
        <v>100</v>
      </c>
      <c r="B60" s="33" t="s">
        <v>101</v>
      </c>
      <c r="C60" s="31">
        <v>3000000</v>
      </c>
      <c r="D60" s="22"/>
      <c r="E60" s="23"/>
      <c r="F60" s="36"/>
      <c r="G60" s="63"/>
      <c r="H60" s="21">
        <f t="shared" si="22"/>
        <v>3000000</v>
      </c>
      <c r="I60" s="22">
        <f>SEPTIEMBRE!I60+SEPTIEMBRE!J60</f>
        <v>2366400</v>
      </c>
      <c r="J60" s="43">
        <f>267200+37400</f>
        <v>304600</v>
      </c>
      <c r="K60" s="21">
        <f t="shared" si="12"/>
        <v>2671000</v>
      </c>
      <c r="L60" s="16">
        <f t="shared" si="1"/>
        <v>0.89033333333333331</v>
      </c>
      <c r="M60" s="25">
        <f t="shared" si="3"/>
        <v>2671000</v>
      </c>
      <c r="N60" s="26">
        <f t="shared" si="23"/>
        <v>329000</v>
      </c>
      <c r="O60" s="18">
        <f t="shared" si="17"/>
        <v>0.10966666666666666</v>
      </c>
      <c r="Q60" s="37"/>
    </row>
    <row r="61" spans="1:17" ht="15" x14ac:dyDescent="0.25">
      <c r="A61" s="19" t="s">
        <v>102</v>
      </c>
      <c r="B61" s="33" t="s">
        <v>93</v>
      </c>
      <c r="C61" s="32">
        <v>22000000</v>
      </c>
      <c r="D61" s="22"/>
      <c r="E61" s="23"/>
      <c r="F61" s="36"/>
      <c r="G61" s="63"/>
      <c r="H61" s="21">
        <f t="shared" si="22"/>
        <v>22000000</v>
      </c>
      <c r="I61" s="22">
        <f>SEPTIEMBRE!I61+SEPTIEMBRE!J61</f>
        <v>6990318</v>
      </c>
      <c r="J61" s="39">
        <f>4727826-196181</f>
        <v>4531645</v>
      </c>
      <c r="K61" s="21">
        <f t="shared" si="12"/>
        <v>11521963</v>
      </c>
      <c r="L61" s="16">
        <f t="shared" si="1"/>
        <v>0.52372559090909088</v>
      </c>
      <c r="M61" s="25">
        <f t="shared" si="3"/>
        <v>11521963</v>
      </c>
      <c r="N61" s="26">
        <f t="shared" si="23"/>
        <v>10478037</v>
      </c>
      <c r="O61" s="18">
        <f t="shared" si="17"/>
        <v>0.47627440909090907</v>
      </c>
      <c r="Q61" s="37"/>
    </row>
    <row r="62" spans="1:17" ht="15" x14ac:dyDescent="0.25">
      <c r="A62" s="19" t="s">
        <v>103</v>
      </c>
      <c r="B62" s="33" t="s">
        <v>104</v>
      </c>
      <c r="C62" s="32">
        <v>23000000</v>
      </c>
      <c r="D62" s="22"/>
      <c r="E62" s="23"/>
      <c r="F62" s="36"/>
      <c r="G62" s="63"/>
      <c r="H62" s="21">
        <f t="shared" si="22"/>
        <v>23000000</v>
      </c>
      <c r="I62" s="22">
        <f>SEPTIEMBRE!I62+SEPTIEMBRE!J62</f>
        <v>14419600</v>
      </c>
      <c r="J62" s="43">
        <v>1576100</v>
      </c>
      <c r="K62" s="21">
        <f t="shared" si="12"/>
        <v>15995700</v>
      </c>
      <c r="L62" s="16">
        <f t="shared" si="1"/>
        <v>0.6954652173913044</v>
      </c>
      <c r="M62" s="25">
        <f t="shared" si="3"/>
        <v>15995700</v>
      </c>
      <c r="N62" s="26">
        <f t="shared" si="23"/>
        <v>7004300</v>
      </c>
      <c r="O62" s="18">
        <f t="shared" si="17"/>
        <v>0.30453478260869565</v>
      </c>
      <c r="Q62" s="37"/>
    </row>
    <row r="63" spans="1:17" ht="15" x14ac:dyDescent="0.25">
      <c r="A63" s="19" t="s">
        <v>105</v>
      </c>
      <c r="B63" s="33" t="s">
        <v>106</v>
      </c>
      <c r="C63" s="32">
        <v>19800000</v>
      </c>
      <c r="D63" s="22"/>
      <c r="E63" s="23"/>
      <c r="F63" s="36"/>
      <c r="G63" s="63"/>
      <c r="H63" s="21">
        <f t="shared" si="22"/>
        <v>19800000</v>
      </c>
      <c r="I63" s="22">
        <f>SEPTIEMBRE!I63+SEPTIEMBRE!J63</f>
        <v>10816500</v>
      </c>
      <c r="J63" s="43">
        <v>1182300</v>
      </c>
      <c r="K63" s="21">
        <f t="shared" si="12"/>
        <v>11998800</v>
      </c>
      <c r="L63" s="16">
        <f t="shared" si="1"/>
        <v>0.60599999999999998</v>
      </c>
      <c r="M63" s="25">
        <f t="shared" si="3"/>
        <v>11998800</v>
      </c>
      <c r="N63" s="26">
        <f t="shared" si="23"/>
        <v>7801200</v>
      </c>
      <c r="O63" s="18">
        <f t="shared" si="17"/>
        <v>0.39400000000000002</v>
      </c>
      <c r="Q63" s="37"/>
    </row>
    <row r="64" spans="1:17" ht="15" x14ac:dyDescent="0.25">
      <c r="A64" s="19" t="s">
        <v>107</v>
      </c>
      <c r="B64" s="33" t="s">
        <v>108</v>
      </c>
      <c r="C64" s="32">
        <v>3000000</v>
      </c>
      <c r="D64" s="22"/>
      <c r="E64" s="23"/>
      <c r="F64" s="36"/>
      <c r="G64" s="63"/>
      <c r="H64" s="21">
        <f t="shared" si="22"/>
        <v>3000000</v>
      </c>
      <c r="I64" s="22">
        <f>SEPTIEMBRE!I64+SEPTIEMBRE!J64</f>
        <v>1787100</v>
      </c>
      <c r="J64" s="43">
        <v>197500</v>
      </c>
      <c r="K64" s="21">
        <f t="shared" si="12"/>
        <v>1984600</v>
      </c>
      <c r="L64" s="16">
        <f t="shared" si="1"/>
        <v>0.66153333333333331</v>
      </c>
      <c r="M64" s="25">
        <f t="shared" si="3"/>
        <v>1984600</v>
      </c>
      <c r="N64" s="26">
        <f t="shared" si="23"/>
        <v>1015400</v>
      </c>
      <c r="O64" s="18">
        <f t="shared" si="17"/>
        <v>0.33846666666666669</v>
      </c>
      <c r="Q64" s="37"/>
    </row>
    <row r="65" spans="1:17" ht="15" x14ac:dyDescent="0.25">
      <c r="A65" s="19" t="s">
        <v>109</v>
      </c>
      <c r="B65" s="33" t="s">
        <v>110</v>
      </c>
      <c r="C65" s="32">
        <v>3000000</v>
      </c>
      <c r="D65" s="22"/>
      <c r="E65" s="23"/>
      <c r="F65" s="36"/>
      <c r="G65" s="63"/>
      <c r="H65" s="21">
        <f t="shared" si="22"/>
        <v>3000000</v>
      </c>
      <c r="I65" s="22">
        <f>SEPTIEMBRE!I65+SEPTIEMBRE!J65</f>
        <v>1806500</v>
      </c>
      <c r="J65" s="43">
        <v>197500</v>
      </c>
      <c r="K65" s="21">
        <f t="shared" si="12"/>
        <v>2004000</v>
      </c>
      <c r="L65" s="16">
        <f t="shared" si="1"/>
        <v>0.66800000000000004</v>
      </c>
      <c r="M65" s="25">
        <f t="shared" si="3"/>
        <v>2004000</v>
      </c>
      <c r="N65" s="26">
        <f t="shared" si="23"/>
        <v>996000</v>
      </c>
      <c r="O65" s="18">
        <f t="shared" si="17"/>
        <v>0.33200000000000002</v>
      </c>
      <c r="Q65" s="37"/>
    </row>
    <row r="66" spans="1:17" ht="15" x14ac:dyDescent="0.25">
      <c r="A66" s="19" t="s">
        <v>111</v>
      </c>
      <c r="B66" s="33" t="s">
        <v>112</v>
      </c>
      <c r="C66" s="32">
        <v>6000000</v>
      </c>
      <c r="D66" s="22"/>
      <c r="E66" s="23"/>
      <c r="F66" s="36"/>
      <c r="G66" s="63"/>
      <c r="H66" s="21">
        <f t="shared" si="22"/>
        <v>6000000</v>
      </c>
      <c r="I66" s="22">
        <f>SEPTIEMBRE!I66+SEPTIEMBRE!J66</f>
        <v>3569300</v>
      </c>
      <c r="J66" s="43">
        <v>394500</v>
      </c>
      <c r="K66" s="21">
        <f t="shared" si="12"/>
        <v>3963800</v>
      </c>
      <c r="L66" s="16">
        <f t="shared" si="1"/>
        <v>0.66063333333333329</v>
      </c>
      <c r="M66" s="25">
        <f>J66+I66</f>
        <v>3963800</v>
      </c>
      <c r="N66" s="26">
        <f t="shared" si="23"/>
        <v>2036200</v>
      </c>
      <c r="O66" s="18">
        <f t="shared" si="17"/>
        <v>0.33936666666666665</v>
      </c>
      <c r="Q66" s="37"/>
    </row>
    <row r="67" spans="1:17" ht="15" x14ac:dyDescent="0.25">
      <c r="A67" s="19" t="s">
        <v>113</v>
      </c>
      <c r="B67" s="33" t="s">
        <v>114</v>
      </c>
      <c r="C67" s="32"/>
      <c r="D67" s="22"/>
      <c r="E67" s="23"/>
      <c r="F67" s="36"/>
      <c r="G67" s="63"/>
      <c r="H67" s="21">
        <f t="shared" si="22"/>
        <v>0</v>
      </c>
      <c r="I67" s="22">
        <f>SEPTIEMBRE!I67+SEPTIEMBRE!J67</f>
        <v>0</v>
      </c>
      <c r="J67" s="22">
        <v>0</v>
      </c>
      <c r="K67" s="21">
        <f t="shared" si="12"/>
        <v>0</v>
      </c>
      <c r="L67" s="16">
        <v>0</v>
      </c>
      <c r="M67" s="17">
        <f t="shared" si="3"/>
        <v>0</v>
      </c>
      <c r="N67" s="26">
        <f t="shared" si="23"/>
        <v>0</v>
      </c>
      <c r="O67" s="18">
        <v>0</v>
      </c>
      <c r="Q67" s="37"/>
    </row>
    <row r="68" spans="1:17" ht="27" customHeight="1" x14ac:dyDescent="0.2">
      <c r="A68" s="180">
        <v>20201203</v>
      </c>
      <c r="B68" s="66" t="s">
        <v>123</v>
      </c>
      <c r="C68" s="73">
        <f>C69</f>
        <v>0</v>
      </c>
      <c r="D68" s="74">
        <f t="shared" ref="D68:G68" si="24">D69</f>
        <v>0</v>
      </c>
      <c r="E68" s="74">
        <f>E69+E70</f>
        <v>50000000</v>
      </c>
      <c r="F68" s="68">
        <f t="shared" si="24"/>
        <v>0</v>
      </c>
      <c r="G68" s="74">
        <f t="shared" si="24"/>
        <v>0</v>
      </c>
      <c r="H68" s="68">
        <f>SUM(H69:H70)</f>
        <v>50000000</v>
      </c>
      <c r="I68" s="68">
        <f>SUM(I69:I70)</f>
        <v>30000000</v>
      </c>
      <c r="J68" s="68">
        <f>SUM(J69:J70)</f>
        <v>0</v>
      </c>
      <c r="K68" s="68">
        <f>SUM(K69:K70)</f>
        <v>30000000</v>
      </c>
      <c r="L68" s="69">
        <f t="shared" ref="L68" si="25">L69</f>
        <v>0</v>
      </c>
      <c r="M68" s="75">
        <f>SUM(M69:M70)</f>
        <v>30000000</v>
      </c>
      <c r="N68" s="75">
        <f>SUM(N69:N70)</f>
        <v>20000000</v>
      </c>
      <c r="O68" s="71">
        <f t="shared" si="17"/>
        <v>0.4</v>
      </c>
      <c r="Q68" s="37"/>
    </row>
    <row r="69" spans="1:17" ht="15" x14ac:dyDescent="0.25">
      <c r="A69" s="181">
        <v>2020130101</v>
      </c>
      <c r="B69" s="173" t="s">
        <v>124</v>
      </c>
      <c r="C69" s="174">
        <v>0</v>
      </c>
      <c r="D69" s="175">
        <v>0</v>
      </c>
      <c r="E69" s="176">
        <v>0</v>
      </c>
      <c r="F69" s="177"/>
      <c r="G69" s="178"/>
      <c r="H69" s="21">
        <f t="shared" si="22"/>
        <v>0</v>
      </c>
      <c r="I69" s="175">
        <v>0</v>
      </c>
      <c r="J69" s="175">
        <v>0</v>
      </c>
      <c r="K69" s="179">
        <v>0</v>
      </c>
      <c r="L69" s="16">
        <v>0</v>
      </c>
      <c r="M69" s="25">
        <f t="shared" si="3"/>
        <v>0</v>
      </c>
      <c r="N69" s="26">
        <f t="shared" si="23"/>
        <v>0</v>
      </c>
      <c r="O69" s="18">
        <v>0</v>
      </c>
      <c r="Q69" s="37"/>
    </row>
    <row r="70" spans="1:17" ht="15" x14ac:dyDescent="0.25">
      <c r="A70" s="181">
        <v>45</v>
      </c>
      <c r="B70" s="173" t="s">
        <v>124</v>
      </c>
      <c r="C70" s="174">
        <v>0</v>
      </c>
      <c r="D70" s="175">
        <v>0</v>
      </c>
      <c r="E70" s="176">
        <v>50000000</v>
      </c>
      <c r="F70" s="177">
        <v>0</v>
      </c>
      <c r="G70" s="178">
        <v>0</v>
      </c>
      <c r="H70" s="21">
        <f t="shared" si="22"/>
        <v>50000000</v>
      </c>
      <c r="I70" s="175">
        <f>SEPTIEMBRE!I70+SEPTIEMBRE!J70</f>
        <v>30000000</v>
      </c>
      <c r="J70" s="175"/>
      <c r="K70" s="179">
        <f>I70+J70</f>
        <v>30000000</v>
      </c>
      <c r="L70" s="16">
        <f t="shared" si="1"/>
        <v>0.6</v>
      </c>
      <c r="M70" s="25">
        <f t="shared" si="3"/>
        <v>30000000</v>
      </c>
      <c r="N70" s="26">
        <f t="shared" si="23"/>
        <v>20000000</v>
      </c>
      <c r="O70" s="18">
        <f t="shared" si="17"/>
        <v>0.4</v>
      </c>
      <c r="Q70" s="37"/>
    </row>
    <row r="71" spans="1:17" s="80" customFormat="1" ht="31.5" customHeight="1" thickBot="1" x14ac:dyDescent="0.25">
      <c r="A71" s="81"/>
      <c r="B71" s="166" t="s">
        <v>115</v>
      </c>
      <c r="C71" s="171">
        <f>C57+C52+C32+C19+C24+C8</f>
        <v>1030155044</v>
      </c>
      <c r="D71" s="167">
        <f t="shared" ref="D71:J71" si="26">D8+D19+D24+D32+D52+D57+D68</f>
        <v>46000000</v>
      </c>
      <c r="E71" s="167">
        <f t="shared" si="26"/>
        <v>131431604</v>
      </c>
      <c r="F71" s="167">
        <f t="shared" si="26"/>
        <v>81447267</v>
      </c>
      <c r="G71" s="167">
        <f t="shared" si="26"/>
        <v>81447267</v>
      </c>
      <c r="H71" s="167">
        <f t="shared" si="26"/>
        <v>1161586648</v>
      </c>
      <c r="I71" s="167">
        <f t="shared" si="26"/>
        <v>792225168.97776079</v>
      </c>
      <c r="J71" s="167">
        <f t="shared" si="26"/>
        <v>62920432</v>
      </c>
      <c r="K71" s="167">
        <f>K57+K52+K32+K24+K19+K8+K68</f>
        <v>855437107.97776079</v>
      </c>
      <c r="L71" s="168">
        <f t="shared" si="1"/>
        <v>0.73643848218351837</v>
      </c>
      <c r="M71" s="167">
        <f>M8+M19+M24+M32+M52+M57+M68</f>
        <v>855145600.97776079</v>
      </c>
      <c r="N71" s="167">
        <f>N8+N19+N24+N32+N52+N57+N68</f>
        <v>260149540.02223915</v>
      </c>
      <c r="O71" s="170">
        <f t="shared" si="17"/>
        <v>0.22396051165891082</v>
      </c>
    </row>
    <row r="72" spans="1:17" ht="35.25" customHeight="1" thickBot="1" x14ac:dyDescent="0.3">
      <c r="A72" s="165" t="s">
        <v>118</v>
      </c>
      <c r="B72" s="192" t="s">
        <v>119</v>
      </c>
      <c r="C72" s="193"/>
      <c r="D72" s="193"/>
      <c r="E72" s="193"/>
      <c r="F72" s="193"/>
      <c r="G72" s="193"/>
      <c r="H72" s="193"/>
      <c r="I72" s="193"/>
      <c r="J72" s="193"/>
      <c r="K72" s="193"/>
      <c r="L72" s="193"/>
      <c r="M72" s="193"/>
      <c r="N72" s="193"/>
      <c r="O72" s="194"/>
      <c r="Q72" s="40"/>
    </row>
    <row r="73" spans="1:17" x14ac:dyDescent="0.2">
      <c r="K73" s="40"/>
    </row>
    <row r="74" spans="1:17" x14ac:dyDescent="0.2">
      <c r="D74" s="40"/>
      <c r="F74" s="40"/>
      <c r="G74" s="40"/>
      <c r="K74" s="40"/>
      <c r="N74" s="40"/>
    </row>
    <row r="75" spans="1:17" x14ac:dyDescent="0.2">
      <c r="F75" s="40"/>
      <c r="G75" s="40"/>
      <c r="I75" s="40"/>
      <c r="J75" s="42"/>
      <c r="N75" s="40"/>
    </row>
    <row r="76" spans="1:17" x14ac:dyDescent="0.2">
      <c r="D76" s="40"/>
      <c r="J76" s="40"/>
      <c r="L76" s="40"/>
      <c r="N76" s="40"/>
    </row>
    <row r="77" spans="1:17" x14ac:dyDescent="0.2">
      <c r="G77" s="40"/>
      <c r="H77" s="40"/>
      <c r="J77" s="40"/>
      <c r="N77" s="40"/>
    </row>
    <row r="78" spans="1:17" x14ac:dyDescent="0.2">
      <c r="J78" s="40"/>
    </row>
  </sheetData>
  <mergeCells count="6">
    <mergeCell ref="B72:O72"/>
    <mergeCell ref="A1:O1"/>
    <mergeCell ref="A2:O2"/>
    <mergeCell ref="A3:O3"/>
    <mergeCell ref="D5:D6"/>
    <mergeCell ref="L5:L6"/>
  </mergeCells>
  <printOptions horizontalCentered="1" verticalCentered="1"/>
  <pageMargins left="0.23622047244094491" right="0.23622047244094491" top="0.39370078740157483" bottom="0.98425196850393704" header="0" footer="0"/>
  <pageSetup paperSize="14" scale="4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8"/>
  <sheetViews>
    <sheetView showGridLines="0" zoomScale="90" zoomScaleNormal="90" zoomScaleSheetLayoutView="80" workbookViewId="0">
      <pane xSplit="2" ySplit="7" topLeftCell="D44" activePane="bottomRight" state="frozen"/>
      <selection pane="topRight" activeCell="C1" sqref="C1"/>
      <selection pane="bottomLeft" activeCell="A8" sqref="A8"/>
      <selection pane="bottomRight" activeCell="K54" sqref="K54"/>
    </sheetView>
  </sheetViews>
  <sheetFormatPr baseColWidth="10" defaultRowHeight="14.25" x14ac:dyDescent="0.2"/>
  <cols>
    <col min="1" max="1" width="16" style="1" customWidth="1"/>
    <col min="2" max="2" width="49.625" style="1" customWidth="1"/>
    <col min="3" max="3" width="21.625" style="1" customWidth="1"/>
    <col min="4" max="4" width="16.125" style="1" customWidth="1"/>
    <col min="5" max="7" width="14.625" style="1" customWidth="1"/>
    <col min="8" max="8" width="17.875" style="1" bestFit="1" customWidth="1"/>
    <col min="9" max="9" width="20.625" style="1" bestFit="1" customWidth="1"/>
    <col min="10" max="10" width="15" style="1" bestFit="1" customWidth="1"/>
    <col min="11" max="11" width="16" style="1" customWidth="1"/>
    <col min="12" max="12" width="6" style="1" bestFit="1" customWidth="1"/>
    <col min="13" max="13" width="17.375" style="41" hidden="1" customWidth="1"/>
    <col min="14" max="14" width="16.25" style="1" bestFit="1" customWidth="1"/>
    <col min="15" max="15" width="8.5" style="1" customWidth="1"/>
    <col min="16" max="16" width="11" style="1"/>
    <col min="17" max="17" width="10.125" style="1" bestFit="1" customWidth="1"/>
    <col min="18" max="256" width="11" style="1"/>
    <col min="257" max="257" width="16" style="1" customWidth="1"/>
    <col min="258" max="258" width="49.625" style="1" customWidth="1"/>
    <col min="259" max="259" width="15.25" style="1" customWidth="1"/>
    <col min="260" max="266" width="14.625" style="1" customWidth="1"/>
    <col min="267" max="267" width="0" style="1" hidden="1" customWidth="1"/>
    <col min="268" max="268" width="7.875" style="1" customWidth="1"/>
    <col min="269" max="269" width="17.375" style="1" customWidth="1"/>
    <col min="270" max="270" width="14.625" style="1" customWidth="1"/>
    <col min="271" max="271" width="8.5" style="1" customWidth="1"/>
    <col min="272" max="272" width="11" style="1"/>
    <col min="273" max="273" width="10.125" style="1" bestFit="1" customWidth="1"/>
    <col min="274" max="512" width="11" style="1"/>
    <col min="513" max="513" width="16" style="1" customWidth="1"/>
    <col min="514" max="514" width="49.625" style="1" customWidth="1"/>
    <col min="515" max="515" width="15.25" style="1" customWidth="1"/>
    <col min="516" max="522" width="14.625" style="1" customWidth="1"/>
    <col min="523" max="523" width="0" style="1" hidden="1" customWidth="1"/>
    <col min="524" max="524" width="7.875" style="1" customWidth="1"/>
    <col min="525" max="525" width="17.375" style="1" customWidth="1"/>
    <col min="526" max="526" width="14.625" style="1" customWidth="1"/>
    <col min="527" max="527" width="8.5" style="1" customWidth="1"/>
    <col min="528" max="528" width="11" style="1"/>
    <col min="529" max="529" width="10.125" style="1" bestFit="1" customWidth="1"/>
    <col min="530" max="768" width="11" style="1"/>
    <col min="769" max="769" width="16" style="1" customWidth="1"/>
    <col min="770" max="770" width="49.625" style="1" customWidth="1"/>
    <col min="771" max="771" width="15.25" style="1" customWidth="1"/>
    <col min="772" max="778" width="14.625" style="1" customWidth="1"/>
    <col min="779" max="779" width="0" style="1" hidden="1" customWidth="1"/>
    <col min="780" max="780" width="7.875" style="1" customWidth="1"/>
    <col min="781" max="781" width="17.375" style="1" customWidth="1"/>
    <col min="782" max="782" width="14.625" style="1" customWidth="1"/>
    <col min="783" max="783" width="8.5" style="1" customWidth="1"/>
    <col min="784" max="784" width="11" style="1"/>
    <col min="785" max="785" width="10.125" style="1" bestFit="1" customWidth="1"/>
    <col min="786" max="1024" width="11" style="1"/>
    <col min="1025" max="1025" width="16" style="1" customWidth="1"/>
    <col min="1026" max="1026" width="49.625" style="1" customWidth="1"/>
    <col min="1027" max="1027" width="15.25" style="1" customWidth="1"/>
    <col min="1028" max="1034" width="14.625" style="1" customWidth="1"/>
    <col min="1035" max="1035" width="0" style="1" hidden="1" customWidth="1"/>
    <col min="1036" max="1036" width="7.875" style="1" customWidth="1"/>
    <col min="1037" max="1037" width="17.375" style="1" customWidth="1"/>
    <col min="1038" max="1038" width="14.625" style="1" customWidth="1"/>
    <col min="1039" max="1039" width="8.5" style="1" customWidth="1"/>
    <col min="1040" max="1040" width="11" style="1"/>
    <col min="1041" max="1041" width="10.125" style="1" bestFit="1" customWidth="1"/>
    <col min="1042" max="1280" width="11" style="1"/>
    <col min="1281" max="1281" width="16" style="1" customWidth="1"/>
    <col min="1282" max="1282" width="49.625" style="1" customWidth="1"/>
    <col min="1283" max="1283" width="15.25" style="1" customWidth="1"/>
    <col min="1284" max="1290" width="14.625" style="1" customWidth="1"/>
    <col min="1291" max="1291" width="0" style="1" hidden="1" customWidth="1"/>
    <col min="1292" max="1292" width="7.875" style="1" customWidth="1"/>
    <col min="1293" max="1293" width="17.375" style="1" customWidth="1"/>
    <col min="1294" max="1294" width="14.625" style="1" customWidth="1"/>
    <col min="1295" max="1295" width="8.5" style="1" customWidth="1"/>
    <col min="1296" max="1296" width="11" style="1"/>
    <col min="1297" max="1297" width="10.125" style="1" bestFit="1" customWidth="1"/>
    <col min="1298" max="1536" width="11" style="1"/>
    <col min="1537" max="1537" width="16" style="1" customWidth="1"/>
    <col min="1538" max="1538" width="49.625" style="1" customWidth="1"/>
    <col min="1539" max="1539" width="15.25" style="1" customWidth="1"/>
    <col min="1540" max="1546" width="14.625" style="1" customWidth="1"/>
    <col min="1547" max="1547" width="0" style="1" hidden="1" customWidth="1"/>
    <col min="1548" max="1548" width="7.875" style="1" customWidth="1"/>
    <col min="1549" max="1549" width="17.375" style="1" customWidth="1"/>
    <col min="1550" max="1550" width="14.625" style="1" customWidth="1"/>
    <col min="1551" max="1551" width="8.5" style="1" customWidth="1"/>
    <col min="1552" max="1552" width="11" style="1"/>
    <col min="1553" max="1553" width="10.125" style="1" bestFit="1" customWidth="1"/>
    <col min="1554" max="1792" width="11" style="1"/>
    <col min="1793" max="1793" width="16" style="1" customWidth="1"/>
    <col min="1794" max="1794" width="49.625" style="1" customWidth="1"/>
    <col min="1795" max="1795" width="15.25" style="1" customWidth="1"/>
    <col min="1796" max="1802" width="14.625" style="1" customWidth="1"/>
    <col min="1803" max="1803" width="0" style="1" hidden="1" customWidth="1"/>
    <col min="1804" max="1804" width="7.875" style="1" customWidth="1"/>
    <col min="1805" max="1805" width="17.375" style="1" customWidth="1"/>
    <col min="1806" max="1806" width="14.625" style="1" customWidth="1"/>
    <col min="1807" max="1807" width="8.5" style="1" customWidth="1"/>
    <col min="1808" max="1808" width="11" style="1"/>
    <col min="1809" max="1809" width="10.125" style="1" bestFit="1" customWidth="1"/>
    <col min="1810" max="2048" width="11" style="1"/>
    <col min="2049" max="2049" width="16" style="1" customWidth="1"/>
    <col min="2050" max="2050" width="49.625" style="1" customWidth="1"/>
    <col min="2051" max="2051" width="15.25" style="1" customWidth="1"/>
    <col min="2052" max="2058" width="14.625" style="1" customWidth="1"/>
    <col min="2059" max="2059" width="0" style="1" hidden="1" customWidth="1"/>
    <col min="2060" max="2060" width="7.875" style="1" customWidth="1"/>
    <col min="2061" max="2061" width="17.375" style="1" customWidth="1"/>
    <col min="2062" max="2062" width="14.625" style="1" customWidth="1"/>
    <col min="2063" max="2063" width="8.5" style="1" customWidth="1"/>
    <col min="2064" max="2064" width="11" style="1"/>
    <col min="2065" max="2065" width="10.125" style="1" bestFit="1" customWidth="1"/>
    <col min="2066" max="2304" width="11" style="1"/>
    <col min="2305" max="2305" width="16" style="1" customWidth="1"/>
    <col min="2306" max="2306" width="49.625" style="1" customWidth="1"/>
    <col min="2307" max="2307" width="15.25" style="1" customWidth="1"/>
    <col min="2308" max="2314" width="14.625" style="1" customWidth="1"/>
    <col min="2315" max="2315" width="0" style="1" hidden="1" customWidth="1"/>
    <col min="2316" max="2316" width="7.875" style="1" customWidth="1"/>
    <col min="2317" max="2317" width="17.375" style="1" customWidth="1"/>
    <col min="2318" max="2318" width="14.625" style="1" customWidth="1"/>
    <col min="2319" max="2319" width="8.5" style="1" customWidth="1"/>
    <col min="2320" max="2320" width="11" style="1"/>
    <col min="2321" max="2321" width="10.125" style="1" bestFit="1" customWidth="1"/>
    <col min="2322" max="2560" width="11" style="1"/>
    <col min="2561" max="2561" width="16" style="1" customWidth="1"/>
    <col min="2562" max="2562" width="49.625" style="1" customWidth="1"/>
    <col min="2563" max="2563" width="15.25" style="1" customWidth="1"/>
    <col min="2564" max="2570" width="14.625" style="1" customWidth="1"/>
    <col min="2571" max="2571" width="0" style="1" hidden="1" customWidth="1"/>
    <col min="2572" max="2572" width="7.875" style="1" customWidth="1"/>
    <col min="2573" max="2573" width="17.375" style="1" customWidth="1"/>
    <col min="2574" max="2574" width="14.625" style="1" customWidth="1"/>
    <col min="2575" max="2575" width="8.5" style="1" customWidth="1"/>
    <col min="2576" max="2576" width="11" style="1"/>
    <col min="2577" max="2577" width="10.125" style="1" bestFit="1" customWidth="1"/>
    <col min="2578" max="2816" width="11" style="1"/>
    <col min="2817" max="2817" width="16" style="1" customWidth="1"/>
    <col min="2818" max="2818" width="49.625" style="1" customWidth="1"/>
    <col min="2819" max="2819" width="15.25" style="1" customWidth="1"/>
    <col min="2820" max="2826" width="14.625" style="1" customWidth="1"/>
    <col min="2827" max="2827" width="0" style="1" hidden="1" customWidth="1"/>
    <col min="2828" max="2828" width="7.875" style="1" customWidth="1"/>
    <col min="2829" max="2829" width="17.375" style="1" customWidth="1"/>
    <col min="2830" max="2830" width="14.625" style="1" customWidth="1"/>
    <col min="2831" max="2831" width="8.5" style="1" customWidth="1"/>
    <col min="2832" max="2832" width="11" style="1"/>
    <col min="2833" max="2833" width="10.125" style="1" bestFit="1" customWidth="1"/>
    <col min="2834" max="3072" width="11" style="1"/>
    <col min="3073" max="3073" width="16" style="1" customWidth="1"/>
    <col min="3074" max="3074" width="49.625" style="1" customWidth="1"/>
    <col min="3075" max="3075" width="15.25" style="1" customWidth="1"/>
    <col min="3076" max="3082" width="14.625" style="1" customWidth="1"/>
    <col min="3083" max="3083" width="0" style="1" hidden="1" customWidth="1"/>
    <col min="3084" max="3084" width="7.875" style="1" customWidth="1"/>
    <col min="3085" max="3085" width="17.375" style="1" customWidth="1"/>
    <col min="3086" max="3086" width="14.625" style="1" customWidth="1"/>
    <col min="3087" max="3087" width="8.5" style="1" customWidth="1"/>
    <col min="3088" max="3088" width="11" style="1"/>
    <col min="3089" max="3089" width="10.125" style="1" bestFit="1" customWidth="1"/>
    <col min="3090" max="3328" width="11" style="1"/>
    <col min="3329" max="3329" width="16" style="1" customWidth="1"/>
    <col min="3330" max="3330" width="49.625" style="1" customWidth="1"/>
    <col min="3331" max="3331" width="15.25" style="1" customWidth="1"/>
    <col min="3332" max="3338" width="14.625" style="1" customWidth="1"/>
    <col min="3339" max="3339" width="0" style="1" hidden="1" customWidth="1"/>
    <col min="3340" max="3340" width="7.875" style="1" customWidth="1"/>
    <col min="3341" max="3341" width="17.375" style="1" customWidth="1"/>
    <col min="3342" max="3342" width="14.625" style="1" customWidth="1"/>
    <col min="3343" max="3343" width="8.5" style="1" customWidth="1"/>
    <col min="3344" max="3344" width="11" style="1"/>
    <col min="3345" max="3345" width="10.125" style="1" bestFit="1" customWidth="1"/>
    <col min="3346" max="3584" width="11" style="1"/>
    <col min="3585" max="3585" width="16" style="1" customWidth="1"/>
    <col min="3586" max="3586" width="49.625" style="1" customWidth="1"/>
    <col min="3587" max="3587" width="15.25" style="1" customWidth="1"/>
    <col min="3588" max="3594" width="14.625" style="1" customWidth="1"/>
    <col min="3595" max="3595" width="0" style="1" hidden="1" customWidth="1"/>
    <col min="3596" max="3596" width="7.875" style="1" customWidth="1"/>
    <col min="3597" max="3597" width="17.375" style="1" customWidth="1"/>
    <col min="3598" max="3598" width="14.625" style="1" customWidth="1"/>
    <col min="3599" max="3599" width="8.5" style="1" customWidth="1"/>
    <col min="3600" max="3600" width="11" style="1"/>
    <col min="3601" max="3601" width="10.125" style="1" bestFit="1" customWidth="1"/>
    <col min="3602" max="3840" width="11" style="1"/>
    <col min="3841" max="3841" width="16" style="1" customWidth="1"/>
    <col min="3842" max="3842" width="49.625" style="1" customWidth="1"/>
    <col min="3843" max="3843" width="15.25" style="1" customWidth="1"/>
    <col min="3844" max="3850" width="14.625" style="1" customWidth="1"/>
    <col min="3851" max="3851" width="0" style="1" hidden="1" customWidth="1"/>
    <col min="3852" max="3852" width="7.875" style="1" customWidth="1"/>
    <col min="3853" max="3853" width="17.375" style="1" customWidth="1"/>
    <col min="3854" max="3854" width="14.625" style="1" customWidth="1"/>
    <col min="3855" max="3855" width="8.5" style="1" customWidth="1"/>
    <col min="3856" max="3856" width="11" style="1"/>
    <col min="3857" max="3857" width="10.125" style="1" bestFit="1" customWidth="1"/>
    <col min="3858" max="4096" width="11" style="1"/>
    <col min="4097" max="4097" width="16" style="1" customWidth="1"/>
    <col min="4098" max="4098" width="49.625" style="1" customWidth="1"/>
    <col min="4099" max="4099" width="15.25" style="1" customWidth="1"/>
    <col min="4100" max="4106" width="14.625" style="1" customWidth="1"/>
    <col min="4107" max="4107" width="0" style="1" hidden="1" customWidth="1"/>
    <col min="4108" max="4108" width="7.875" style="1" customWidth="1"/>
    <col min="4109" max="4109" width="17.375" style="1" customWidth="1"/>
    <col min="4110" max="4110" width="14.625" style="1" customWidth="1"/>
    <col min="4111" max="4111" width="8.5" style="1" customWidth="1"/>
    <col min="4112" max="4112" width="11" style="1"/>
    <col min="4113" max="4113" width="10.125" style="1" bestFit="1" customWidth="1"/>
    <col min="4114" max="4352" width="11" style="1"/>
    <col min="4353" max="4353" width="16" style="1" customWidth="1"/>
    <col min="4354" max="4354" width="49.625" style="1" customWidth="1"/>
    <col min="4355" max="4355" width="15.25" style="1" customWidth="1"/>
    <col min="4356" max="4362" width="14.625" style="1" customWidth="1"/>
    <col min="4363" max="4363" width="0" style="1" hidden="1" customWidth="1"/>
    <col min="4364" max="4364" width="7.875" style="1" customWidth="1"/>
    <col min="4365" max="4365" width="17.375" style="1" customWidth="1"/>
    <col min="4366" max="4366" width="14.625" style="1" customWidth="1"/>
    <col min="4367" max="4367" width="8.5" style="1" customWidth="1"/>
    <col min="4368" max="4368" width="11" style="1"/>
    <col min="4369" max="4369" width="10.125" style="1" bestFit="1" customWidth="1"/>
    <col min="4370" max="4608" width="11" style="1"/>
    <col min="4609" max="4609" width="16" style="1" customWidth="1"/>
    <col min="4610" max="4610" width="49.625" style="1" customWidth="1"/>
    <col min="4611" max="4611" width="15.25" style="1" customWidth="1"/>
    <col min="4612" max="4618" width="14.625" style="1" customWidth="1"/>
    <col min="4619" max="4619" width="0" style="1" hidden="1" customWidth="1"/>
    <col min="4620" max="4620" width="7.875" style="1" customWidth="1"/>
    <col min="4621" max="4621" width="17.375" style="1" customWidth="1"/>
    <col min="4622" max="4622" width="14.625" style="1" customWidth="1"/>
    <col min="4623" max="4623" width="8.5" style="1" customWidth="1"/>
    <col min="4624" max="4624" width="11" style="1"/>
    <col min="4625" max="4625" width="10.125" style="1" bestFit="1" customWidth="1"/>
    <col min="4626" max="4864" width="11" style="1"/>
    <col min="4865" max="4865" width="16" style="1" customWidth="1"/>
    <col min="4866" max="4866" width="49.625" style="1" customWidth="1"/>
    <col min="4867" max="4867" width="15.25" style="1" customWidth="1"/>
    <col min="4868" max="4874" width="14.625" style="1" customWidth="1"/>
    <col min="4875" max="4875" width="0" style="1" hidden="1" customWidth="1"/>
    <col min="4876" max="4876" width="7.875" style="1" customWidth="1"/>
    <col min="4877" max="4877" width="17.375" style="1" customWidth="1"/>
    <col min="4878" max="4878" width="14.625" style="1" customWidth="1"/>
    <col min="4879" max="4879" width="8.5" style="1" customWidth="1"/>
    <col min="4880" max="4880" width="11" style="1"/>
    <col min="4881" max="4881" width="10.125" style="1" bestFit="1" customWidth="1"/>
    <col min="4882" max="5120" width="11" style="1"/>
    <col min="5121" max="5121" width="16" style="1" customWidth="1"/>
    <col min="5122" max="5122" width="49.625" style="1" customWidth="1"/>
    <col min="5123" max="5123" width="15.25" style="1" customWidth="1"/>
    <col min="5124" max="5130" width="14.625" style="1" customWidth="1"/>
    <col min="5131" max="5131" width="0" style="1" hidden="1" customWidth="1"/>
    <col min="5132" max="5132" width="7.875" style="1" customWidth="1"/>
    <col min="5133" max="5133" width="17.375" style="1" customWidth="1"/>
    <col min="5134" max="5134" width="14.625" style="1" customWidth="1"/>
    <col min="5135" max="5135" width="8.5" style="1" customWidth="1"/>
    <col min="5136" max="5136" width="11" style="1"/>
    <col min="5137" max="5137" width="10.125" style="1" bestFit="1" customWidth="1"/>
    <col min="5138" max="5376" width="11" style="1"/>
    <col min="5377" max="5377" width="16" style="1" customWidth="1"/>
    <col min="5378" max="5378" width="49.625" style="1" customWidth="1"/>
    <col min="5379" max="5379" width="15.25" style="1" customWidth="1"/>
    <col min="5380" max="5386" width="14.625" style="1" customWidth="1"/>
    <col min="5387" max="5387" width="0" style="1" hidden="1" customWidth="1"/>
    <col min="5388" max="5388" width="7.875" style="1" customWidth="1"/>
    <col min="5389" max="5389" width="17.375" style="1" customWidth="1"/>
    <col min="5390" max="5390" width="14.625" style="1" customWidth="1"/>
    <col min="5391" max="5391" width="8.5" style="1" customWidth="1"/>
    <col min="5392" max="5392" width="11" style="1"/>
    <col min="5393" max="5393" width="10.125" style="1" bestFit="1" customWidth="1"/>
    <col min="5394" max="5632" width="11" style="1"/>
    <col min="5633" max="5633" width="16" style="1" customWidth="1"/>
    <col min="5634" max="5634" width="49.625" style="1" customWidth="1"/>
    <col min="5635" max="5635" width="15.25" style="1" customWidth="1"/>
    <col min="5636" max="5642" width="14.625" style="1" customWidth="1"/>
    <col min="5643" max="5643" width="0" style="1" hidden="1" customWidth="1"/>
    <col min="5644" max="5644" width="7.875" style="1" customWidth="1"/>
    <col min="5645" max="5645" width="17.375" style="1" customWidth="1"/>
    <col min="5646" max="5646" width="14.625" style="1" customWidth="1"/>
    <col min="5647" max="5647" width="8.5" style="1" customWidth="1"/>
    <col min="5648" max="5648" width="11" style="1"/>
    <col min="5649" max="5649" width="10.125" style="1" bestFit="1" customWidth="1"/>
    <col min="5650" max="5888" width="11" style="1"/>
    <col min="5889" max="5889" width="16" style="1" customWidth="1"/>
    <col min="5890" max="5890" width="49.625" style="1" customWidth="1"/>
    <col min="5891" max="5891" width="15.25" style="1" customWidth="1"/>
    <col min="5892" max="5898" width="14.625" style="1" customWidth="1"/>
    <col min="5899" max="5899" width="0" style="1" hidden="1" customWidth="1"/>
    <col min="5900" max="5900" width="7.875" style="1" customWidth="1"/>
    <col min="5901" max="5901" width="17.375" style="1" customWidth="1"/>
    <col min="5902" max="5902" width="14.625" style="1" customWidth="1"/>
    <col min="5903" max="5903" width="8.5" style="1" customWidth="1"/>
    <col min="5904" max="5904" width="11" style="1"/>
    <col min="5905" max="5905" width="10.125" style="1" bestFit="1" customWidth="1"/>
    <col min="5906" max="6144" width="11" style="1"/>
    <col min="6145" max="6145" width="16" style="1" customWidth="1"/>
    <col min="6146" max="6146" width="49.625" style="1" customWidth="1"/>
    <col min="6147" max="6147" width="15.25" style="1" customWidth="1"/>
    <col min="6148" max="6154" width="14.625" style="1" customWidth="1"/>
    <col min="6155" max="6155" width="0" style="1" hidden="1" customWidth="1"/>
    <col min="6156" max="6156" width="7.875" style="1" customWidth="1"/>
    <col min="6157" max="6157" width="17.375" style="1" customWidth="1"/>
    <col min="6158" max="6158" width="14.625" style="1" customWidth="1"/>
    <col min="6159" max="6159" width="8.5" style="1" customWidth="1"/>
    <col min="6160" max="6160" width="11" style="1"/>
    <col min="6161" max="6161" width="10.125" style="1" bestFit="1" customWidth="1"/>
    <col min="6162" max="6400" width="11" style="1"/>
    <col min="6401" max="6401" width="16" style="1" customWidth="1"/>
    <col min="6402" max="6402" width="49.625" style="1" customWidth="1"/>
    <col min="6403" max="6403" width="15.25" style="1" customWidth="1"/>
    <col min="6404" max="6410" width="14.625" style="1" customWidth="1"/>
    <col min="6411" max="6411" width="0" style="1" hidden="1" customWidth="1"/>
    <col min="6412" max="6412" width="7.875" style="1" customWidth="1"/>
    <col min="6413" max="6413" width="17.375" style="1" customWidth="1"/>
    <col min="6414" max="6414" width="14.625" style="1" customWidth="1"/>
    <col min="6415" max="6415" width="8.5" style="1" customWidth="1"/>
    <col min="6416" max="6416" width="11" style="1"/>
    <col min="6417" max="6417" width="10.125" style="1" bestFit="1" customWidth="1"/>
    <col min="6418" max="6656" width="11" style="1"/>
    <col min="6657" max="6657" width="16" style="1" customWidth="1"/>
    <col min="6658" max="6658" width="49.625" style="1" customWidth="1"/>
    <col min="6659" max="6659" width="15.25" style="1" customWidth="1"/>
    <col min="6660" max="6666" width="14.625" style="1" customWidth="1"/>
    <col min="6667" max="6667" width="0" style="1" hidden="1" customWidth="1"/>
    <col min="6668" max="6668" width="7.875" style="1" customWidth="1"/>
    <col min="6669" max="6669" width="17.375" style="1" customWidth="1"/>
    <col min="6670" max="6670" width="14.625" style="1" customWidth="1"/>
    <col min="6671" max="6671" width="8.5" style="1" customWidth="1"/>
    <col min="6672" max="6672" width="11" style="1"/>
    <col min="6673" max="6673" width="10.125" style="1" bestFit="1" customWidth="1"/>
    <col min="6674" max="6912" width="11" style="1"/>
    <col min="6913" max="6913" width="16" style="1" customWidth="1"/>
    <col min="6914" max="6914" width="49.625" style="1" customWidth="1"/>
    <col min="6915" max="6915" width="15.25" style="1" customWidth="1"/>
    <col min="6916" max="6922" width="14.625" style="1" customWidth="1"/>
    <col min="6923" max="6923" width="0" style="1" hidden="1" customWidth="1"/>
    <col min="6924" max="6924" width="7.875" style="1" customWidth="1"/>
    <col min="6925" max="6925" width="17.375" style="1" customWidth="1"/>
    <col min="6926" max="6926" width="14.625" style="1" customWidth="1"/>
    <col min="6927" max="6927" width="8.5" style="1" customWidth="1"/>
    <col min="6928" max="6928" width="11" style="1"/>
    <col min="6929" max="6929" width="10.125" style="1" bestFit="1" customWidth="1"/>
    <col min="6930" max="7168" width="11" style="1"/>
    <col min="7169" max="7169" width="16" style="1" customWidth="1"/>
    <col min="7170" max="7170" width="49.625" style="1" customWidth="1"/>
    <col min="7171" max="7171" width="15.25" style="1" customWidth="1"/>
    <col min="7172" max="7178" width="14.625" style="1" customWidth="1"/>
    <col min="7179" max="7179" width="0" style="1" hidden="1" customWidth="1"/>
    <col min="7180" max="7180" width="7.875" style="1" customWidth="1"/>
    <col min="7181" max="7181" width="17.375" style="1" customWidth="1"/>
    <col min="7182" max="7182" width="14.625" style="1" customWidth="1"/>
    <col min="7183" max="7183" width="8.5" style="1" customWidth="1"/>
    <col min="7184" max="7184" width="11" style="1"/>
    <col min="7185" max="7185" width="10.125" style="1" bestFit="1" customWidth="1"/>
    <col min="7186" max="7424" width="11" style="1"/>
    <col min="7425" max="7425" width="16" style="1" customWidth="1"/>
    <col min="7426" max="7426" width="49.625" style="1" customWidth="1"/>
    <col min="7427" max="7427" width="15.25" style="1" customWidth="1"/>
    <col min="7428" max="7434" width="14.625" style="1" customWidth="1"/>
    <col min="7435" max="7435" width="0" style="1" hidden="1" customWidth="1"/>
    <col min="7436" max="7436" width="7.875" style="1" customWidth="1"/>
    <col min="7437" max="7437" width="17.375" style="1" customWidth="1"/>
    <col min="7438" max="7438" width="14.625" style="1" customWidth="1"/>
    <col min="7439" max="7439" width="8.5" style="1" customWidth="1"/>
    <col min="7440" max="7440" width="11" style="1"/>
    <col min="7441" max="7441" width="10.125" style="1" bestFit="1" customWidth="1"/>
    <col min="7442" max="7680" width="11" style="1"/>
    <col min="7681" max="7681" width="16" style="1" customWidth="1"/>
    <col min="7682" max="7682" width="49.625" style="1" customWidth="1"/>
    <col min="7683" max="7683" width="15.25" style="1" customWidth="1"/>
    <col min="7684" max="7690" width="14.625" style="1" customWidth="1"/>
    <col min="7691" max="7691" width="0" style="1" hidden="1" customWidth="1"/>
    <col min="7692" max="7692" width="7.875" style="1" customWidth="1"/>
    <col min="7693" max="7693" width="17.375" style="1" customWidth="1"/>
    <col min="7694" max="7694" width="14.625" style="1" customWidth="1"/>
    <col min="7695" max="7695" width="8.5" style="1" customWidth="1"/>
    <col min="7696" max="7696" width="11" style="1"/>
    <col min="7697" max="7697" width="10.125" style="1" bestFit="1" customWidth="1"/>
    <col min="7698" max="7936" width="11" style="1"/>
    <col min="7937" max="7937" width="16" style="1" customWidth="1"/>
    <col min="7938" max="7938" width="49.625" style="1" customWidth="1"/>
    <col min="7939" max="7939" width="15.25" style="1" customWidth="1"/>
    <col min="7940" max="7946" width="14.625" style="1" customWidth="1"/>
    <col min="7947" max="7947" width="0" style="1" hidden="1" customWidth="1"/>
    <col min="7948" max="7948" width="7.875" style="1" customWidth="1"/>
    <col min="7949" max="7949" width="17.375" style="1" customWidth="1"/>
    <col min="7950" max="7950" width="14.625" style="1" customWidth="1"/>
    <col min="7951" max="7951" width="8.5" style="1" customWidth="1"/>
    <col min="7952" max="7952" width="11" style="1"/>
    <col min="7953" max="7953" width="10.125" style="1" bestFit="1" customWidth="1"/>
    <col min="7954" max="8192" width="11" style="1"/>
    <col min="8193" max="8193" width="16" style="1" customWidth="1"/>
    <col min="8194" max="8194" width="49.625" style="1" customWidth="1"/>
    <col min="8195" max="8195" width="15.25" style="1" customWidth="1"/>
    <col min="8196" max="8202" width="14.625" style="1" customWidth="1"/>
    <col min="8203" max="8203" width="0" style="1" hidden="1" customWidth="1"/>
    <col min="8204" max="8204" width="7.875" style="1" customWidth="1"/>
    <col min="8205" max="8205" width="17.375" style="1" customWidth="1"/>
    <col min="8206" max="8206" width="14.625" style="1" customWidth="1"/>
    <col min="8207" max="8207" width="8.5" style="1" customWidth="1"/>
    <col min="8208" max="8208" width="11" style="1"/>
    <col min="8209" max="8209" width="10.125" style="1" bestFit="1" customWidth="1"/>
    <col min="8210" max="8448" width="11" style="1"/>
    <col min="8449" max="8449" width="16" style="1" customWidth="1"/>
    <col min="8450" max="8450" width="49.625" style="1" customWidth="1"/>
    <col min="8451" max="8451" width="15.25" style="1" customWidth="1"/>
    <col min="8452" max="8458" width="14.625" style="1" customWidth="1"/>
    <col min="8459" max="8459" width="0" style="1" hidden="1" customWidth="1"/>
    <col min="8460" max="8460" width="7.875" style="1" customWidth="1"/>
    <col min="8461" max="8461" width="17.375" style="1" customWidth="1"/>
    <col min="8462" max="8462" width="14.625" style="1" customWidth="1"/>
    <col min="8463" max="8463" width="8.5" style="1" customWidth="1"/>
    <col min="8464" max="8464" width="11" style="1"/>
    <col min="8465" max="8465" width="10.125" style="1" bestFit="1" customWidth="1"/>
    <col min="8466" max="8704" width="11" style="1"/>
    <col min="8705" max="8705" width="16" style="1" customWidth="1"/>
    <col min="8706" max="8706" width="49.625" style="1" customWidth="1"/>
    <col min="8707" max="8707" width="15.25" style="1" customWidth="1"/>
    <col min="8708" max="8714" width="14.625" style="1" customWidth="1"/>
    <col min="8715" max="8715" width="0" style="1" hidden="1" customWidth="1"/>
    <col min="8716" max="8716" width="7.875" style="1" customWidth="1"/>
    <col min="8717" max="8717" width="17.375" style="1" customWidth="1"/>
    <col min="8718" max="8718" width="14.625" style="1" customWidth="1"/>
    <col min="8719" max="8719" width="8.5" style="1" customWidth="1"/>
    <col min="8720" max="8720" width="11" style="1"/>
    <col min="8721" max="8721" width="10.125" style="1" bestFit="1" customWidth="1"/>
    <col min="8722" max="8960" width="11" style="1"/>
    <col min="8961" max="8961" width="16" style="1" customWidth="1"/>
    <col min="8962" max="8962" width="49.625" style="1" customWidth="1"/>
    <col min="8963" max="8963" width="15.25" style="1" customWidth="1"/>
    <col min="8964" max="8970" width="14.625" style="1" customWidth="1"/>
    <col min="8971" max="8971" width="0" style="1" hidden="1" customWidth="1"/>
    <col min="8972" max="8972" width="7.875" style="1" customWidth="1"/>
    <col min="8973" max="8973" width="17.375" style="1" customWidth="1"/>
    <col min="8974" max="8974" width="14.625" style="1" customWidth="1"/>
    <col min="8975" max="8975" width="8.5" style="1" customWidth="1"/>
    <col min="8976" max="8976" width="11" style="1"/>
    <col min="8977" max="8977" width="10.125" style="1" bestFit="1" customWidth="1"/>
    <col min="8978" max="9216" width="11" style="1"/>
    <col min="9217" max="9217" width="16" style="1" customWidth="1"/>
    <col min="9218" max="9218" width="49.625" style="1" customWidth="1"/>
    <col min="9219" max="9219" width="15.25" style="1" customWidth="1"/>
    <col min="9220" max="9226" width="14.625" style="1" customWidth="1"/>
    <col min="9227" max="9227" width="0" style="1" hidden="1" customWidth="1"/>
    <col min="9228" max="9228" width="7.875" style="1" customWidth="1"/>
    <col min="9229" max="9229" width="17.375" style="1" customWidth="1"/>
    <col min="9230" max="9230" width="14.625" style="1" customWidth="1"/>
    <col min="9231" max="9231" width="8.5" style="1" customWidth="1"/>
    <col min="9232" max="9232" width="11" style="1"/>
    <col min="9233" max="9233" width="10.125" style="1" bestFit="1" customWidth="1"/>
    <col min="9234" max="9472" width="11" style="1"/>
    <col min="9473" max="9473" width="16" style="1" customWidth="1"/>
    <col min="9474" max="9474" width="49.625" style="1" customWidth="1"/>
    <col min="9475" max="9475" width="15.25" style="1" customWidth="1"/>
    <col min="9476" max="9482" width="14.625" style="1" customWidth="1"/>
    <col min="9483" max="9483" width="0" style="1" hidden="1" customWidth="1"/>
    <col min="9484" max="9484" width="7.875" style="1" customWidth="1"/>
    <col min="9485" max="9485" width="17.375" style="1" customWidth="1"/>
    <col min="9486" max="9486" width="14.625" style="1" customWidth="1"/>
    <col min="9487" max="9487" width="8.5" style="1" customWidth="1"/>
    <col min="9488" max="9488" width="11" style="1"/>
    <col min="9489" max="9489" width="10.125" style="1" bestFit="1" customWidth="1"/>
    <col min="9490" max="9728" width="11" style="1"/>
    <col min="9729" max="9729" width="16" style="1" customWidth="1"/>
    <col min="9730" max="9730" width="49.625" style="1" customWidth="1"/>
    <col min="9731" max="9731" width="15.25" style="1" customWidth="1"/>
    <col min="9732" max="9738" width="14.625" style="1" customWidth="1"/>
    <col min="9739" max="9739" width="0" style="1" hidden="1" customWidth="1"/>
    <col min="9740" max="9740" width="7.875" style="1" customWidth="1"/>
    <col min="9741" max="9741" width="17.375" style="1" customWidth="1"/>
    <col min="9742" max="9742" width="14.625" style="1" customWidth="1"/>
    <col min="9743" max="9743" width="8.5" style="1" customWidth="1"/>
    <col min="9744" max="9744" width="11" style="1"/>
    <col min="9745" max="9745" width="10.125" style="1" bestFit="1" customWidth="1"/>
    <col min="9746" max="9984" width="11" style="1"/>
    <col min="9985" max="9985" width="16" style="1" customWidth="1"/>
    <col min="9986" max="9986" width="49.625" style="1" customWidth="1"/>
    <col min="9987" max="9987" width="15.25" style="1" customWidth="1"/>
    <col min="9988" max="9994" width="14.625" style="1" customWidth="1"/>
    <col min="9995" max="9995" width="0" style="1" hidden="1" customWidth="1"/>
    <col min="9996" max="9996" width="7.875" style="1" customWidth="1"/>
    <col min="9997" max="9997" width="17.375" style="1" customWidth="1"/>
    <col min="9998" max="9998" width="14.625" style="1" customWidth="1"/>
    <col min="9999" max="9999" width="8.5" style="1" customWidth="1"/>
    <col min="10000" max="10000" width="11" style="1"/>
    <col min="10001" max="10001" width="10.125" style="1" bestFit="1" customWidth="1"/>
    <col min="10002" max="10240" width="11" style="1"/>
    <col min="10241" max="10241" width="16" style="1" customWidth="1"/>
    <col min="10242" max="10242" width="49.625" style="1" customWidth="1"/>
    <col min="10243" max="10243" width="15.25" style="1" customWidth="1"/>
    <col min="10244" max="10250" width="14.625" style="1" customWidth="1"/>
    <col min="10251" max="10251" width="0" style="1" hidden="1" customWidth="1"/>
    <col min="10252" max="10252" width="7.875" style="1" customWidth="1"/>
    <col min="10253" max="10253" width="17.375" style="1" customWidth="1"/>
    <col min="10254" max="10254" width="14.625" style="1" customWidth="1"/>
    <col min="10255" max="10255" width="8.5" style="1" customWidth="1"/>
    <col min="10256" max="10256" width="11" style="1"/>
    <col min="10257" max="10257" width="10.125" style="1" bestFit="1" customWidth="1"/>
    <col min="10258" max="10496" width="11" style="1"/>
    <col min="10497" max="10497" width="16" style="1" customWidth="1"/>
    <col min="10498" max="10498" width="49.625" style="1" customWidth="1"/>
    <col min="10499" max="10499" width="15.25" style="1" customWidth="1"/>
    <col min="10500" max="10506" width="14.625" style="1" customWidth="1"/>
    <col min="10507" max="10507" width="0" style="1" hidden="1" customWidth="1"/>
    <col min="10508" max="10508" width="7.875" style="1" customWidth="1"/>
    <col min="10509" max="10509" width="17.375" style="1" customWidth="1"/>
    <col min="10510" max="10510" width="14.625" style="1" customWidth="1"/>
    <col min="10511" max="10511" width="8.5" style="1" customWidth="1"/>
    <col min="10512" max="10512" width="11" style="1"/>
    <col min="10513" max="10513" width="10.125" style="1" bestFit="1" customWidth="1"/>
    <col min="10514" max="10752" width="11" style="1"/>
    <col min="10753" max="10753" width="16" style="1" customWidth="1"/>
    <col min="10754" max="10754" width="49.625" style="1" customWidth="1"/>
    <col min="10755" max="10755" width="15.25" style="1" customWidth="1"/>
    <col min="10756" max="10762" width="14.625" style="1" customWidth="1"/>
    <col min="10763" max="10763" width="0" style="1" hidden="1" customWidth="1"/>
    <col min="10764" max="10764" width="7.875" style="1" customWidth="1"/>
    <col min="10765" max="10765" width="17.375" style="1" customWidth="1"/>
    <col min="10766" max="10766" width="14.625" style="1" customWidth="1"/>
    <col min="10767" max="10767" width="8.5" style="1" customWidth="1"/>
    <col min="10768" max="10768" width="11" style="1"/>
    <col min="10769" max="10769" width="10.125" style="1" bestFit="1" customWidth="1"/>
    <col min="10770" max="11008" width="11" style="1"/>
    <col min="11009" max="11009" width="16" style="1" customWidth="1"/>
    <col min="11010" max="11010" width="49.625" style="1" customWidth="1"/>
    <col min="11011" max="11011" width="15.25" style="1" customWidth="1"/>
    <col min="11012" max="11018" width="14.625" style="1" customWidth="1"/>
    <col min="11019" max="11019" width="0" style="1" hidden="1" customWidth="1"/>
    <col min="11020" max="11020" width="7.875" style="1" customWidth="1"/>
    <col min="11021" max="11021" width="17.375" style="1" customWidth="1"/>
    <col min="11022" max="11022" width="14.625" style="1" customWidth="1"/>
    <col min="11023" max="11023" width="8.5" style="1" customWidth="1"/>
    <col min="11024" max="11024" width="11" style="1"/>
    <col min="11025" max="11025" width="10.125" style="1" bestFit="1" customWidth="1"/>
    <col min="11026" max="11264" width="11" style="1"/>
    <col min="11265" max="11265" width="16" style="1" customWidth="1"/>
    <col min="11266" max="11266" width="49.625" style="1" customWidth="1"/>
    <col min="11267" max="11267" width="15.25" style="1" customWidth="1"/>
    <col min="11268" max="11274" width="14.625" style="1" customWidth="1"/>
    <col min="11275" max="11275" width="0" style="1" hidden="1" customWidth="1"/>
    <col min="11276" max="11276" width="7.875" style="1" customWidth="1"/>
    <col min="11277" max="11277" width="17.375" style="1" customWidth="1"/>
    <col min="11278" max="11278" width="14.625" style="1" customWidth="1"/>
    <col min="11279" max="11279" width="8.5" style="1" customWidth="1"/>
    <col min="11280" max="11280" width="11" style="1"/>
    <col min="11281" max="11281" width="10.125" style="1" bestFit="1" customWidth="1"/>
    <col min="11282" max="11520" width="11" style="1"/>
    <col min="11521" max="11521" width="16" style="1" customWidth="1"/>
    <col min="11522" max="11522" width="49.625" style="1" customWidth="1"/>
    <col min="11523" max="11523" width="15.25" style="1" customWidth="1"/>
    <col min="11524" max="11530" width="14.625" style="1" customWidth="1"/>
    <col min="11531" max="11531" width="0" style="1" hidden="1" customWidth="1"/>
    <col min="11532" max="11532" width="7.875" style="1" customWidth="1"/>
    <col min="11533" max="11533" width="17.375" style="1" customWidth="1"/>
    <col min="11534" max="11534" width="14.625" style="1" customWidth="1"/>
    <col min="11535" max="11535" width="8.5" style="1" customWidth="1"/>
    <col min="11536" max="11536" width="11" style="1"/>
    <col min="11537" max="11537" width="10.125" style="1" bestFit="1" customWidth="1"/>
    <col min="11538" max="11776" width="11" style="1"/>
    <col min="11777" max="11777" width="16" style="1" customWidth="1"/>
    <col min="11778" max="11778" width="49.625" style="1" customWidth="1"/>
    <col min="11779" max="11779" width="15.25" style="1" customWidth="1"/>
    <col min="11780" max="11786" width="14.625" style="1" customWidth="1"/>
    <col min="11787" max="11787" width="0" style="1" hidden="1" customWidth="1"/>
    <col min="11788" max="11788" width="7.875" style="1" customWidth="1"/>
    <col min="11789" max="11789" width="17.375" style="1" customWidth="1"/>
    <col min="11790" max="11790" width="14.625" style="1" customWidth="1"/>
    <col min="11791" max="11791" width="8.5" style="1" customWidth="1"/>
    <col min="11792" max="11792" width="11" style="1"/>
    <col min="11793" max="11793" width="10.125" style="1" bestFit="1" customWidth="1"/>
    <col min="11794" max="12032" width="11" style="1"/>
    <col min="12033" max="12033" width="16" style="1" customWidth="1"/>
    <col min="12034" max="12034" width="49.625" style="1" customWidth="1"/>
    <col min="12035" max="12035" width="15.25" style="1" customWidth="1"/>
    <col min="12036" max="12042" width="14.625" style="1" customWidth="1"/>
    <col min="12043" max="12043" width="0" style="1" hidden="1" customWidth="1"/>
    <col min="12044" max="12044" width="7.875" style="1" customWidth="1"/>
    <col min="12045" max="12045" width="17.375" style="1" customWidth="1"/>
    <col min="12046" max="12046" width="14.625" style="1" customWidth="1"/>
    <col min="12047" max="12047" width="8.5" style="1" customWidth="1"/>
    <col min="12048" max="12048" width="11" style="1"/>
    <col min="12049" max="12049" width="10.125" style="1" bestFit="1" customWidth="1"/>
    <col min="12050" max="12288" width="11" style="1"/>
    <col min="12289" max="12289" width="16" style="1" customWidth="1"/>
    <col min="12290" max="12290" width="49.625" style="1" customWidth="1"/>
    <col min="12291" max="12291" width="15.25" style="1" customWidth="1"/>
    <col min="12292" max="12298" width="14.625" style="1" customWidth="1"/>
    <col min="12299" max="12299" width="0" style="1" hidden="1" customWidth="1"/>
    <col min="12300" max="12300" width="7.875" style="1" customWidth="1"/>
    <col min="12301" max="12301" width="17.375" style="1" customWidth="1"/>
    <col min="12302" max="12302" width="14.625" style="1" customWidth="1"/>
    <col min="12303" max="12303" width="8.5" style="1" customWidth="1"/>
    <col min="12304" max="12304" width="11" style="1"/>
    <col min="12305" max="12305" width="10.125" style="1" bestFit="1" customWidth="1"/>
    <col min="12306" max="12544" width="11" style="1"/>
    <col min="12545" max="12545" width="16" style="1" customWidth="1"/>
    <col min="12546" max="12546" width="49.625" style="1" customWidth="1"/>
    <col min="12547" max="12547" width="15.25" style="1" customWidth="1"/>
    <col min="12548" max="12554" width="14.625" style="1" customWidth="1"/>
    <col min="12555" max="12555" width="0" style="1" hidden="1" customWidth="1"/>
    <col min="12556" max="12556" width="7.875" style="1" customWidth="1"/>
    <col min="12557" max="12557" width="17.375" style="1" customWidth="1"/>
    <col min="12558" max="12558" width="14.625" style="1" customWidth="1"/>
    <col min="12559" max="12559" width="8.5" style="1" customWidth="1"/>
    <col min="12560" max="12560" width="11" style="1"/>
    <col min="12561" max="12561" width="10.125" style="1" bestFit="1" customWidth="1"/>
    <col min="12562" max="12800" width="11" style="1"/>
    <col min="12801" max="12801" width="16" style="1" customWidth="1"/>
    <col min="12802" max="12802" width="49.625" style="1" customWidth="1"/>
    <col min="12803" max="12803" width="15.25" style="1" customWidth="1"/>
    <col min="12804" max="12810" width="14.625" style="1" customWidth="1"/>
    <col min="12811" max="12811" width="0" style="1" hidden="1" customWidth="1"/>
    <col min="12812" max="12812" width="7.875" style="1" customWidth="1"/>
    <col min="12813" max="12813" width="17.375" style="1" customWidth="1"/>
    <col min="12814" max="12814" width="14.625" style="1" customWidth="1"/>
    <col min="12815" max="12815" width="8.5" style="1" customWidth="1"/>
    <col min="12816" max="12816" width="11" style="1"/>
    <col min="12817" max="12817" width="10.125" style="1" bestFit="1" customWidth="1"/>
    <col min="12818" max="13056" width="11" style="1"/>
    <col min="13057" max="13057" width="16" style="1" customWidth="1"/>
    <col min="13058" max="13058" width="49.625" style="1" customWidth="1"/>
    <col min="13059" max="13059" width="15.25" style="1" customWidth="1"/>
    <col min="13060" max="13066" width="14.625" style="1" customWidth="1"/>
    <col min="13067" max="13067" width="0" style="1" hidden="1" customWidth="1"/>
    <col min="13068" max="13068" width="7.875" style="1" customWidth="1"/>
    <col min="13069" max="13069" width="17.375" style="1" customWidth="1"/>
    <col min="13070" max="13070" width="14.625" style="1" customWidth="1"/>
    <col min="13071" max="13071" width="8.5" style="1" customWidth="1"/>
    <col min="13072" max="13072" width="11" style="1"/>
    <col min="13073" max="13073" width="10.125" style="1" bestFit="1" customWidth="1"/>
    <col min="13074" max="13312" width="11" style="1"/>
    <col min="13313" max="13313" width="16" style="1" customWidth="1"/>
    <col min="13314" max="13314" width="49.625" style="1" customWidth="1"/>
    <col min="13315" max="13315" width="15.25" style="1" customWidth="1"/>
    <col min="13316" max="13322" width="14.625" style="1" customWidth="1"/>
    <col min="13323" max="13323" width="0" style="1" hidden="1" customWidth="1"/>
    <col min="13324" max="13324" width="7.875" style="1" customWidth="1"/>
    <col min="13325" max="13325" width="17.375" style="1" customWidth="1"/>
    <col min="13326" max="13326" width="14.625" style="1" customWidth="1"/>
    <col min="13327" max="13327" width="8.5" style="1" customWidth="1"/>
    <col min="13328" max="13328" width="11" style="1"/>
    <col min="13329" max="13329" width="10.125" style="1" bestFit="1" customWidth="1"/>
    <col min="13330" max="13568" width="11" style="1"/>
    <col min="13569" max="13569" width="16" style="1" customWidth="1"/>
    <col min="13570" max="13570" width="49.625" style="1" customWidth="1"/>
    <col min="13571" max="13571" width="15.25" style="1" customWidth="1"/>
    <col min="13572" max="13578" width="14.625" style="1" customWidth="1"/>
    <col min="13579" max="13579" width="0" style="1" hidden="1" customWidth="1"/>
    <col min="13580" max="13580" width="7.875" style="1" customWidth="1"/>
    <col min="13581" max="13581" width="17.375" style="1" customWidth="1"/>
    <col min="13582" max="13582" width="14.625" style="1" customWidth="1"/>
    <col min="13583" max="13583" width="8.5" style="1" customWidth="1"/>
    <col min="13584" max="13584" width="11" style="1"/>
    <col min="13585" max="13585" width="10.125" style="1" bestFit="1" customWidth="1"/>
    <col min="13586" max="13824" width="11" style="1"/>
    <col min="13825" max="13825" width="16" style="1" customWidth="1"/>
    <col min="13826" max="13826" width="49.625" style="1" customWidth="1"/>
    <col min="13827" max="13827" width="15.25" style="1" customWidth="1"/>
    <col min="13828" max="13834" width="14.625" style="1" customWidth="1"/>
    <col min="13835" max="13835" width="0" style="1" hidden="1" customWidth="1"/>
    <col min="13836" max="13836" width="7.875" style="1" customWidth="1"/>
    <col min="13837" max="13837" width="17.375" style="1" customWidth="1"/>
    <col min="13838" max="13838" width="14.625" style="1" customWidth="1"/>
    <col min="13839" max="13839" width="8.5" style="1" customWidth="1"/>
    <col min="13840" max="13840" width="11" style="1"/>
    <col min="13841" max="13841" width="10.125" style="1" bestFit="1" customWidth="1"/>
    <col min="13842" max="14080" width="11" style="1"/>
    <col min="14081" max="14081" width="16" style="1" customWidth="1"/>
    <col min="14082" max="14082" width="49.625" style="1" customWidth="1"/>
    <col min="14083" max="14083" width="15.25" style="1" customWidth="1"/>
    <col min="14084" max="14090" width="14.625" style="1" customWidth="1"/>
    <col min="14091" max="14091" width="0" style="1" hidden="1" customWidth="1"/>
    <col min="14092" max="14092" width="7.875" style="1" customWidth="1"/>
    <col min="14093" max="14093" width="17.375" style="1" customWidth="1"/>
    <col min="14094" max="14094" width="14.625" style="1" customWidth="1"/>
    <col min="14095" max="14095" width="8.5" style="1" customWidth="1"/>
    <col min="14096" max="14096" width="11" style="1"/>
    <col min="14097" max="14097" width="10.125" style="1" bestFit="1" customWidth="1"/>
    <col min="14098" max="14336" width="11" style="1"/>
    <col min="14337" max="14337" width="16" style="1" customWidth="1"/>
    <col min="14338" max="14338" width="49.625" style="1" customWidth="1"/>
    <col min="14339" max="14339" width="15.25" style="1" customWidth="1"/>
    <col min="14340" max="14346" width="14.625" style="1" customWidth="1"/>
    <col min="14347" max="14347" width="0" style="1" hidden="1" customWidth="1"/>
    <col min="14348" max="14348" width="7.875" style="1" customWidth="1"/>
    <col min="14349" max="14349" width="17.375" style="1" customWidth="1"/>
    <col min="14350" max="14350" width="14.625" style="1" customWidth="1"/>
    <col min="14351" max="14351" width="8.5" style="1" customWidth="1"/>
    <col min="14352" max="14352" width="11" style="1"/>
    <col min="14353" max="14353" width="10.125" style="1" bestFit="1" customWidth="1"/>
    <col min="14354" max="14592" width="11" style="1"/>
    <col min="14593" max="14593" width="16" style="1" customWidth="1"/>
    <col min="14594" max="14594" width="49.625" style="1" customWidth="1"/>
    <col min="14595" max="14595" width="15.25" style="1" customWidth="1"/>
    <col min="14596" max="14602" width="14.625" style="1" customWidth="1"/>
    <col min="14603" max="14603" width="0" style="1" hidden="1" customWidth="1"/>
    <col min="14604" max="14604" width="7.875" style="1" customWidth="1"/>
    <col min="14605" max="14605" width="17.375" style="1" customWidth="1"/>
    <col min="14606" max="14606" width="14.625" style="1" customWidth="1"/>
    <col min="14607" max="14607" width="8.5" style="1" customWidth="1"/>
    <col min="14608" max="14608" width="11" style="1"/>
    <col min="14609" max="14609" width="10.125" style="1" bestFit="1" customWidth="1"/>
    <col min="14610" max="14848" width="11" style="1"/>
    <col min="14849" max="14849" width="16" style="1" customWidth="1"/>
    <col min="14850" max="14850" width="49.625" style="1" customWidth="1"/>
    <col min="14851" max="14851" width="15.25" style="1" customWidth="1"/>
    <col min="14852" max="14858" width="14.625" style="1" customWidth="1"/>
    <col min="14859" max="14859" width="0" style="1" hidden="1" customWidth="1"/>
    <col min="14860" max="14860" width="7.875" style="1" customWidth="1"/>
    <col min="14861" max="14861" width="17.375" style="1" customWidth="1"/>
    <col min="14862" max="14862" width="14.625" style="1" customWidth="1"/>
    <col min="14863" max="14863" width="8.5" style="1" customWidth="1"/>
    <col min="14864" max="14864" width="11" style="1"/>
    <col min="14865" max="14865" width="10.125" style="1" bestFit="1" customWidth="1"/>
    <col min="14866" max="15104" width="11" style="1"/>
    <col min="15105" max="15105" width="16" style="1" customWidth="1"/>
    <col min="15106" max="15106" width="49.625" style="1" customWidth="1"/>
    <col min="15107" max="15107" width="15.25" style="1" customWidth="1"/>
    <col min="15108" max="15114" width="14.625" style="1" customWidth="1"/>
    <col min="15115" max="15115" width="0" style="1" hidden="1" customWidth="1"/>
    <col min="15116" max="15116" width="7.875" style="1" customWidth="1"/>
    <col min="15117" max="15117" width="17.375" style="1" customWidth="1"/>
    <col min="15118" max="15118" width="14.625" style="1" customWidth="1"/>
    <col min="15119" max="15119" width="8.5" style="1" customWidth="1"/>
    <col min="15120" max="15120" width="11" style="1"/>
    <col min="15121" max="15121" width="10.125" style="1" bestFit="1" customWidth="1"/>
    <col min="15122" max="15360" width="11" style="1"/>
    <col min="15361" max="15361" width="16" style="1" customWidth="1"/>
    <col min="15362" max="15362" width="49.625" style="1" customWidth="1"/>
    <col min="15363" max="15363" width="15.25" style="1" customWidth="1"/>
    <col min="15364" max="15370" width="14.625" style="1" customWidth="1"/>
    <col min="15371" max="15371" width="0" style="1" hidden="1" customWidth="1"/>
    <col min="15372" max="15372" width="7.875" style="1" customWidth="1"/>
    <col min="15373" max="15373" width="17.375" style="1" customWidth="1"/>
    <col min="15374" max="15374" width="14.625" style="1" customWidth="1"/>
    <col min="15375" max="15375" width="8.5" style="1" customWidth="1"/>
    <col min="15376" max="15376" width="11" style="1"/>
    <col min="15377" max="15377" width="10.125" style="1" bestFit="1" customWidth="1"/>
    <col min="15378" max="15616" width="11" style="1"/>
    <col min="15617" max="15617" width="16" style="1" customWidth="1"/>
    <col min="15618" max="15618" width="49.625" style="1" customWidth="1"/>
    <col min="15619" max="15619" width="15.25" style="1" customWidth="1"/>
    <col min="15620" max="15626" width="14.625" style="1" customWidth="1"/>
    <col min="15627" max="15627" width="0" style="1" hidden="1" customWidth="1"/>
    <col min="15628" max="15628" width="7.875" style="1" customWidth="1"/>
    <col min="15629" max="15629" width="17.375" style="1" customWidth="1"/>
    <col min="15630" max="15630" width="14.625" style="1" customWidth="1"/>
    <col min="15631" max="15631" width="8.5" style="1" customWidth="1"/>
    <col min="15632" max="15632" width="11" style="1"/>
    <col min="15633" max="15633" width="10.125" style="1" bestFit="1" customWidth="1"/>
    <col min="15634" max="15872" width="11" style="1"/>
    <col min="15873" max="15873" width="16" style="1" customWidth="1"/>
    <col min="15874" max="15874" width="49.625" style="1" customWidth="1"/>
    <col min="15875" max="15875" width="15.25" style="1" customWidth="1"/>
    <col min="15876" max="15882" width="14.625" style="1" customWidth="1"/>
    <col min="15883" max="15883" width="0" style="1" hidden="1" customWidth="1"/>
    <col min="15884" max="15884" width="7.875" style="1" customWidth="1"/>
    <col min="15885" max="15885" width="17.375" style="1" customWidth="1"/>
    <col min="15886" max="15886" width="14.625" style="1" customWidth="1"/>
    <col min="15887" max="15887" width="8.5" style="1" customWidth="1"/>
    <col min="15888" max="15888" width="11" style="1"/>
    <col min="15889" max="15889" width="10.125" style="1" bestFit="1" customWidth="1"/>
    <col min="15890" max="16128" width="11" style="1"/>
    <col min="16129" max="16129" width="16" style="1" customWidth="1"/>
    <col min="16130" max="16130" width="49.625" style="1" customWidth="1"/>
    <col min="16131" max="16131" width="15.25" style="1" customWidth="1"/>
    <col min="16132" max="16138" width="14.625" style="1" customWidth="1"/>
    <col min="16139" max="16139" width="0" style="1" hidden="1" customWidth="1"/>
    <col min="16140" max="16140" width="7.875" style="1" customWidth="1"/>
    <col min="16141" max="16141" width="17.375" style="1" customWidth="1"/>
    <col min="16142" max="16142" width="14.625" style="1" customWidth="1"/>
    <col min="16143" max="16143" width="8.5" style="1" customWidth="1"/>
    <col min="16144" max="16144" width="11" style="1"/>
    <col min="16145" max="16145" width="10.125" style="1" bestFit="1" customWidth="1"/>
    <col min="16146" max="16384" width="11" style="1"/>
  </cols>
  <sheetData>
    <row r="1" spans="1:15" ht="18" x14ac:dyDescent="0.2">
      <c r="A1" s="195" t="s">
        <v>0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</row>
    <row r="2" spans="1:15" ht="18" x14ac:dyDescent="0.25">
      <c r="A2" s="196" t="s">
        <v>1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</row>
    <row r="3" spans="1:15" ht="18" x14ac:dyDescent="0.25">
      <c r="A3" s="196" t="s">
        <v>130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</row>
    <row r="4" spans="1:15" ht="18.75" thickBot="1" x14ac:dyDescent="0.3">
      <c r="A4" s="2"/>
      <c r="B4" s="4"/>
      <c r="C4" s="4"/>
      <c r="D4" s="4"/>
      <c r="E4" s="6"/>
      <c r="F4" s="6"/>
      <c r="G4" s="4"/>
      <c r="H4" s="4"/>
      <c r="I4" s="4"/>
      <c r="J4" s="4"/>
      <c r="K4" s="4"/>
      <c r="L4" s="4"/>
      <c r="M4" s="5"/>
      <c r="N4" s="4"/>
      <c r="O4" s="3"/>
    </row>
    <row r="5" spans="1:15" ht="23.25" customHeight="1" x14ac:dyDescent="0.25">
      <c r="A5" s="47" t="s">
        <v>3</v>
      </c>
      <c r="B5" s="48" t="s">
        <v>4</v>
      </c>
      <c r="C5" s="49" t="s">
        <v>5</v>
      </c>
      <c r="D5" s="197" t="s">
        <v>131</v>
      </c>
      <c r="E5" s="51" t="s">
        <v>7</v>
      </c>
      <c r="F5" s="51" t="s">
        <v>8</v>
      </c>
      <c r="G5" s="49" t="s">
        <v>9</v>
      </c>
      <c r="H5" s="50" t="s">
        <v>10</v>
      </c>
      <c r="I5" s="51" t="s">
        <v>11</v>
      </c>
      <c r="J5" s="49" t="s">
        <v>12</v>
      </c>
      <c r="K5" s="49" t="s">
        <v>13</v>
      </c>
      <c r="L5" s="201" t="s">
        <v>14</v>
      </c>
      <c r="M5" s="52" t="s">
        <v>10</v>
      </c>
      <c r="N5" s="49" t="s">
        <v>15</v>
      </c>
      <c r="O5" s="53" t="s">
        <v>14</v>
      </c>
    </row>
    <row r="6" spans="1:15" ht="23.25" customHeight="1" thickBot="1" x14ac:dyDescent="0.3">
      <c r="A6" s="54"/>
      <c r="B6" s="55"/>
      <c r="C6" s="56" t="s">
        <v>16</v>
      </c>
      <c r="D6" s="198"/>
      <c r="E6" s="58"/>
      <c r="F6" s="58"/>
      <c r="G6" s="56" t="s">
        <v>8</v>
      </c>
      <c r="H6" s="57" t="s">
        <v>5</v>
      </c>
      <c r="I6" s="59" t="s">
        <v>17</v>
      </c>
      <c r="J6" s="56" t="s">
        <v>18</v>
      </c>
      <c r="K6" s="56" t="s">
        <v>19</v>
      </c>
      <c r="L6" s="202"/>
      <c r="M6" s="60" t="s">
        <v>19</v>
      </c>
      <c r="N6" s="56" t="s">
        <v>20</v>
      </c>
      <c r="O6" s="61"/>
    </row>
    <row r="7" spans="1:15" ht="15" x14ac:dyDescent="0.25">
      <c r="A7" s="7"/>
      <c r="B7" s="8"/>
      <c r="C7" s="9"/>
      <c r="D7" s="9"/>
      <c r="E7" s="10"/>
      <c r="F7" s="10"/>
      <c r="G7" s="9"/>
      <c r="H7" s="9"/>
      <c r="I7" s="11"/>
      <c r="J7" s="9"/>
      <c r="K7" s="9"/>
      <c r="L7" s="9"/>
      <c r="M7" s="12"/>
      <c r="N7" s="13"/>
      <c r="O7" s="14"/>
    </row>
    <row r="8" spans="1:15" s="77" customFormat="1" ht="27.75" customHeight="1" x14ac:dyDescent="0.2">
      <c r="A8" s="65" t="s">
        <v>21</v>
      </c>
      <c r="B8" s="76" t="s">
        <v>22</v>
      </c>
      <c r="C8" s="68">
        <f t="shared" ref="C8:H8" si="0">SUM(C9:C18)</f>
        <v>647432879</v>
      </c>
      <c r="D8" s="68">
        <f t="shared" si="0"/>
        <v>0</v>
      </c>
      <c r="E8" s="68">
        <f t="shared" si="0"/>
        <v>0</v>
      </c>
      <c r="F8" s="68">
        <f t="shared" si="0"/>
        <v>291507</v>
      </c>
      <c r="G8" s="68">
        <f t="shared" si="0"/>
        <v>18900000</v>
      </c>
      <c r="H8" s="68">
        <f t="shared" si="0"/>
        <v>628824386</v>
      </c>
      <c r="I8" s="68">
        <f>I9+I10+I11+I12+I13+I14+I16+I17+I18</f>
        <v>377460056.97776085</v>
      </c>
      <c r="J8" s="68">
        <f>SUM(J9:J18)</f>
        <v>41106587</v>
      </c>
      <c r="K8" s="68">
        <f>K9+K10+K11+K12+K13+K14+K16+K17+K18</f>
        <v>418566643.97776085</v>
      </c>
      <c r="L8" s="69">
        <f t="shared" ref="L8:L71" si="1">K8/H8</f>
        <v>0.66563360661041671</v>
      </c>
      <c r="M8" s="70">
        <f>I8+J8</f>
        <v>418566643.97776085</v>
      </c>
      <c r="N8" s="68">
        <f>SUM(N9:N18)</f>
        <v>209966235.02223915</v>
      </c>
      <c r="O8" s="71">
        <f t="shared" ref="O8:O39" si="2">N8/H8</f>
        <v>0.33390281881059103</v>
      </c>
    </row>
    <row r="9" spans="1:15" ht="15" x14ac:dyDescent="0.25">
      <c r="A9" s="19" t="s">
        <v>23</v>
      </c>
      <c r="B9" s="20" t="s">
        <v>24</v>
      </c>
      <c r="C9" s="21">
        <v>491332879</v>
      </c>
      <c r="D9" s="22"/>
      <c r="E9" s="23"/>
      <c r="F9" s="36"/>
      <c r="G9" s="62">
        <v>18900000</v>
      </c>
      <c r="H9" s="21">
        <f>C9-D9+E9+F9-G9</f>
        <v>472432879</v>
      </c>
      <c r="I9" s="22">
        <f>AGOSTO!I9+AGOSTO!J9</f>
        <v>314582232</v>
      </c>
      <c r="J9" s="43">
        <v>39390167</v>
      </c>
      <c r="K9" s="21">
        <f>SUM(I9:J9)</f>
        <v>353972399</v>
      </c>
      <c r="L9" s="16">
        <f t="shared" si="1"/>
        <v>0.74925436974084947</v>
      </c>
      <c r="M9" s="25">
        <f t="shared" ref="M9:M70" si="3">J9+I9</f>
        <v>353972399</v>
      </c>
      <c r="N9" s="26">
        <f t="shared" ref="N9:N18" si="4">H9-K9</f>
        <v>118460480</v>
      </c>
      <c r="O9" s="18">
        <f t="shared" si="2"/>
        <v>0.25074563025915053</v>
      </c>
    </row>
    <row r="10" spans="1:15" ht="15" x14ac:dyDescent="0.25">
      <c r="A10" s="19" t="s">
        <v>25</v>
      </c>
      <c r="B10" s="20" t="s">
        <v>26</v>
      </c>
      <c r="C10" s="21">
        <v>0</v>
      </c>
      <c r="D10" s="22"/>
      <c r="E10" s="23"/>
      <c r="F10" s="36"/>
      <c r="G10" s="63"/>
      <c r="H10" s="21">
        <f t="shared" ref="H10:H23" si="5">C10-D10+E10+F10-G10</f>
        <v>0</v>
      </c>
      <c r="I10" s="22">
        <f>AGOSTO!I10+AGOSTO!J10</f>
        <v>0</v>
      </c>
      <c r="J10" s="22">
        <v>0</v>
      </c>
      <c r="K10" s="21">
        <f t="shared" ref="K10:K23" si="6">SUM(I10:J10)</f>
        <v>0</v>
      </c>
      <c r="L10" s="16">
        <v>0</v>
      </c>
      <c r="M10" s="25">
        <f t="shared" si="3"/>
        <v>0</v>
      </c>
      <c r="N10" s="26">
        <f t="shared" si="4"/>
        <v>0</v>
      </c>
      <c r="O10" s="18">
        <v>0</v>
      </c>
    </row>
    <row r="11" spans="1:15" ht="15" x14ac:dyDescent="0.25">
      <c r="A11" s="19" t="s">
        <v>27</v>
      </c>
      <c r="B11" s="20" t="s">
        <v>28</v>
      </c>
      <c r="C11" s="21">
        <v>2300000</v>
      </c>
      <c r="D11" s="22"/>
      <c r="E11" s="23"/>
      <c r="F11" s="36"/>
      <c r="G11" s="63"/>
      <c r="H11" s="21">
        <f t="shared" si="5"/>
        <v>2300000</v>
      </c>
      <c r="I11" s="22">
        <f>AGOSTO!I11+AGOSTO!J11</f>
        <v>665120</v>
      </c>
      <c r="J11" s="22">
        <v>83140</v>
      </c>
      <c r="K11" s="21">
        <f t="shared" si="6"/>
        <v>748260</v>
      </c>
      <c r="L11" s="16">
        <f t="shared" si="1"/>
        <v>0.3253304347826087</v>
      </c>
      <c r="M11" s="25">
        <f t="shared" si="3"/>
        <v>748260</v>
      </c>
      <c r="N11" s="26">
        <f t="shared" si="4"/>
        <v>1551740</v>
      </c>
      <c r="O11" s="18">
        <f t="shared" si="2"/>
        <v>0.6746695652173913</v>
      </c>
    </row>
    <row r="12" spans="1:15" ht="15.75" customHeight="1" x14ac:dyDescent="0.25">
      <c r="A12" s="19" t="s">
        <v>29</v>
      </c>
      <c r="B12" s="20" t="s">
        <v>30</v>
      </c>
      <c r="C12" s="21">
        <v>1800000</v>
      </c>
      <c r="D12" s="22"/>
      <c r="E12" s="23"/>
      <c r="F12" s="36"/>
      <c r="G12" s="63"/>
      <c r="H12" s="21">
        <f t="shared" si="5"/>
        <v>1800000</v>
      </c>
      <c r="I12" s="22">
        <f>AGOSTO!I12+AGOSTO!J12</f>
        <v>916080</v>
      </c>
      <c r="J12" s="22">
        <v>114510</v>
      </c>
      <c r="K12" s="21">
        <f t="shared" si="6"/>
        <v>1030590</v>
      </c>
      <c r="L12" s="16">
        <f t="shared" si="1"/>
        <v>0.57255</v>
      </c>
      <c r="M12" s="25">
        <f t="shared" si="3"/>
        <v>1030590</v>
      </c>
      <c r="N12" s="26">
        <f t="shared" si="4"/>
        <v>769410</v>
      </c>
      <c r="O12" s="18">
        <f t="shared" si="2"/>
        <v>0.42745</v>
      </c>
    </row>
    <row r="13" spans="1:15" ht="15" x14ac:dyDescent="0.25">
      <c r="A13" s="19" t="s">
        <v>31</v>
      </c>
      <c r="B13" s="20" t="s">
        <v>32</v>
      </c>
      <c r="C13" s="21">
        <v>15000000</v>
      </c>
      <c r="D13" s="22"/>
      <c r="E13" s="23"/>
      <c r="F13" s="36"/>
      <c r="G13" s="63"/>
      <c r="H13" s="21">
        <f t="shared" si="5"/>
        <v>15000000</v>
      </c>
      <c r="I13" s="22">
        <f>AGOSTO!I13+AGOSTO!J13</f>
        <v>11253889</v>
      </c>
      <c r="J13" s="43">
        <v>1518770</v>
      </c>
      <c r="K13" s="21">
        <f t="shared" si="6"/>
        <v>12772659</v>
      </c>
      <c r="L13" s="16">
        <f t="shared" si="1"/>
        <v>0.85151060000000001</v>
      </c>
      <c r="M13" s="25">
        <f t="shared" si="3"/>
        <v>12772659</v>
      </c>
      <c r="N13" s="26">
        <f t="shared" si="4"/>
        <v>2227341</v>
      </c>
      <c r="O13" s="18">
        <f t="shared" si="2"/>
        <v>0.14848939999999999</v>
      </c>
    </row>
    <row r="14" spans="1:15" ht="15" x14ac:dyDescent="0.25">
      <c r="A14" s="19" t="s">
        <v>33</v>
      </c>
      <c r="B14" s="20" t="s">
        <v>34</v>
      </c>
      <c r="C14" s="21">
        <v>22000000</v>
      </c>
      <c r="D14" s="22"/>
      <c r="E14" s="23"/>
      <c r="F14" s="36"/>
      <c r="G14" s="63"/>
      <c r="H14" s="21">
        <f t="shared" si="5"/>
        <v>22000000</v>
      </c>
      <c r="I14" s="22">
        <f>AGOSTO!I14+AGOSTO!J14</f>
        <v>22000000</v>
      </c>
      <c r="J14" s="44">
        <v>0</v>
      </c>
      <c r="K14" s="21">
        <f t="shared" si="6"/>
        <v>22000000</v>
      </c>
      <c r="L14" s="16">
        <f t="shared" si="1"/>
        <v>1</v>
      </c>
      <c r="M14" s="25">
        <f t="shared" si="3"/>
        <v>22000000</v>
      </c>
      <c r="N14" s="26">
        <f t="shared" si="4"/>
        <v>0</v>
      </c>
      <c r="O14" s="18">
        <f t="shared" si="2"/>
        <v>0</v>
      </c>
    </row>
    <row r="15" spans="1:15" ht="15" x14ac:dyDescent="0.25">
      <c r="A15" s="19">
        <v>45</v>
      </c>
      <c r="B15" s="20" t="s">
        <v>34</v>
      </c>
      <c r="C15" s="21">
        <v>0</v>
      </c>
      <c r="D15" s="22"/>
      <c r="E15" s="23"/>
      <c r="F15" s="36">
        <v>291507</v>
      </c>
      <c r="G15" s="63"/>
      <c r="H15" s="21">
        <f t="shared" si="5"/>
        <v>291507</v>
      </c>
      <c r="I15" s="22">
        <f>AGOSTO!I15+AGOSTO!J15</f>
        <v>291507</v>
      </c>
      <c r="J15" s="44">
        <v>0</v>
      </c>
      <c r="K15" s="21">
        <f t="shared" si="6"/>
        <v>291507</v>
      </c>
      <c r="L15" s="16">
        <f t="shared" si="1"/>
        <v>1</v>
      </c>
      <c r="M15" s="25">
        <f t="shared" si="3"/>
        <v>291507</v>
      </c>
      <c r="N15" s="26">
        <f t="shared" si="4"/>
        <v>0</v>
      </c>
      <c r="O15" s="18">
        <f t="shared" si="2"/>
        <v>0</v>
      </c>
    </row>
    <row r="16" spans="1:15" ht="15" x14ac:dyDescent="0.25">
      <c r="A16" s="19" t="s">
        <v>35</v>
      </c>
      <c r="B16" s="20" t="s">
        <v>36</v>
      </c>
      <c r="C16" s="21">
        <v>33000000</v>
      </c>
      <c r="D16" s="22"/>
      <c r="E16" s="23"/>
      <c r="F16" s="36"/>
      <c r="G16" s="63"/>
      <c r="H16" s="21">
        <f t="shared" si="5"/>
        <v>33000000</v>
      </c>
      <c r="I16" s="22">
        <f>AGOSTO!I16+AGOSTO!J16</f>
        <v>10129524</v>
      </c>
      <c r="J16" s="43">
        <v>0</v>
      </c>
      <c r="K16" s="21">
        <f t="shared" si="6"/>
        <v>10129524</v>
      </c>
      <c r="L16" s="16">
        <f t="shared" si="1"/>
        <v>0.30695527272727274</v>
      </c>
      <c r="M16" s="25">
        <f t="shared" si="3"/>
        <v>10129524</v>
      </c>
      <c r="N16" s="26">
        <f t="shared" si="4"/>
        <v>22870476</v>
      </c>
      <c r="O16" s="18">
        <f t="shared" si="2"/>
        <v>0.69304472727272726</v>
      </c>
    </row>
    <row r="17" spans="1:15" ht="15" x14ac:dyDescent="0.25">
      <c r="A17" s="28">
        <v>2020110109</v>
      </c>
      <c r="B17" s="20" t="s">
        <v>37</v>
      </c>
      <c r="C17" s="21">
        <v>44000000</v>
      </c>
      <c r="D17" s="22"/>
      <c r="E17" s="23"/>
      <c r="F17" s="36"/>
      <c r="G17" s="63"/>
      <c r="H17" s="21">
        <f t="shared" si="5"/>
        <v>44000000</v>
      </c>
      <c r="I17" s="22">
        <f>AGOSTO!I17+AGOSTO!J17</f>
        <v>17558285.977760866</v>
      </c>
      <c r="J17" s="43">
        <v>0</v>
      </c>
      <c r="K17" s="21">
        <f t="shared" si="6"/>
        <v>17558285.977760866</v>
      </c>
      <c r="L17" s="16">
        <f t="shared" si="1"/>
        <v>0.3990519540400197</v>
      </c>
      <c r="M17" s="25">
        <f t="shared" si="3"/>
        <v>17558285.977760866</v>
      </c>
      <c r="N17" s="26">
        <f t="shared" si="4"/>
        <v>26441714.022239134</v>
      </c>
      <c r="O17" s="18">
        <f t="shared" si="2"/>
        <v>0.6009480459599803</v>
      </c>
    </row>
    <row r="18" spans="1:15" ht="15" x14ac:dyDescent="0.25">
      <c r="A18" s="28">
        <v>2020110108</v>
      </c>
      <c r="B18" s="20" t="s">
        <v>38</v>
      </c>
      <c r="C18" s="21">
        <v>38000000</v>
      </c>
      <c r="D18" s="22"/>
      <c r="E18" s="23"/>
      <c r="F18" s="36"/>
      <c r="G18" s="63"/>
      <c r="H18" s="21">
        <f t="shared" si="5"/>
        <v>38000000</v>
      </c>
      <c r="I18" s="22">
        <f>AGOSTO!I18+AGOSTO!J18</f>
        <v>354926</v>
      </c>
      <c r="J18" s="43">
        <v>0</v>
      </c>
      <c r="K18" s="21">
        <f t="shared" si="6"/>
        <v>354926</v>
      </c>
      <c r="L18" s="16">
        <f t="shared" si="1"/>
        <v>9.3401578947368419E-3</v>
      </c>
      <c r="M18" s="25">
        <f t="shared" si="3"/>
        <v>354926</v>
      </c>
      <c r="N18" s="26">
        <f t="shared" si="4"/>
        <v>37645074</v>
      </c>
      <c r="O18" s="18">
        <f t="shared" si="2"/>
        <v>0.99065984210526314</v>
      </c>
    </row>
    <row r="19" spans="1:15" s="72" customFormat="1" ht="27.75" customHeight="1" x14ac:dyDescent="0.2">
      <c r="A19" s="65" t="s">
        <v>39</v>
      </c>
      <c r="B19" s="76" t="s">
        <v>40</v>
      </c>
      <c r="C19" s="68">
        <f t="shared" ref="C19:G19" si="7">SUM(C20:C23)</f>
        <v>20000000</v>
      </c>
      <c r="D19" s="68">
        <f t="shared" si="7"/>
        <v>0</v>
      </c>
      <c r="E19" s="68">
        <f t="shared" si="7"/>
        <v>9000000</v>
      </c>
      <c r="F19" s="68">
        <f t="shared" si="7"/>
        <v>15400000</v>
      </c>
      <c r="G19" s="68">
        <f t="shared" si="7"/>
        <v>0</v>
      </c>
      <c r="H19" s="68">
        <f>SUM(H20:H23)</f>
        <v>44400000</v>
      </c>
      <c r="I19" s="68">
        <f>SUM(I20:I23)</f>
        <v>38600000</v>
      </c>
      <c r="J19" s="68">
        <f>J20+J22+J23+J21</f>
        <v>300000</v>
      </c>
      <c r="K19" s="68">
        <f>SUM(K20:K23)</f>
        <v>38900000</v>
      </c>
      <c r="L19" s="69">
        <f t="shared" si="1"/>
        <v>0.87612612612612617</v>
      </c>
      <c r="M19" s="75">
        <f t="shared" si="3"/>
        <v>38900000</v>
      </c>
      <c r="N19" s="75">
        <f>SUM(N20:N23)</f>
        <v>5500000</v>
      </c>
      <c r="O19" s="71">
        <f t="shared" si="2"/>
        <v>0.12387387387387387</v>
      </c>
    </row>
    <row r="20" spans="1:15" ht="15" x14ac:dyDescent="0.25">
      <c r="A20" s="19" t="s">
        <v>41</v>
      </c>
      <c r="B20" s="30" t="s">
        <v>42</v>
      </c>
      <c r="C20" s="31">
        <v>20000000</v>
      </c>
      <c r="D20" s="22"/>
      <c r="E20" s="23"/>
      <c r="F20" s="36"/>
      <c r="G20" s="63"/>
      <c r="H20" s="21">
        <f t="shared" si="5"/>
        <v>20000000</v>
      </c>
      <c r="I20" s="22">
        <f>AGOSTO!I20+AGOSTO!J20</f>
        <v>20000000</v>
      </c>
      <c r="J20" s="22">
        <v>0</v>
      </c>
      <c r="K20" s="21">
        <f t="shared" si="6"/>
        <v>20000000</v>
      </c>
      <c r="L20" s="16">
        <f t="shared" si="1"/>
        <v>1</v>
      </c>
      <c r="M20" s="25">
        <f t="shared" si="3"/>
        <v>20000000</v>
      </c>
      <c r="N20" s="26">
        <f>H20-K20</f>
        <v>0</v>
      </c>
      <c r="O20" s="18">
        <f>N20/H20</f>
        <v>0</v>
      </c>
    </row>
    <row r="21" spans="1:15" ht="15" x14ac:dyDescent="0.25">
      <c r="A21" s="19">
        <v>45</v>
      </c>
      <c r="B21" s="30" t="s">
        <v>42</v>
      </c>
      <c r="C21" s="31"/>
      <c r="D21" s="22"/>
      <c r="E21" s="23">
        <v>9000000</v>
      </c>
      <c r="F21" s="36">
        <v>15400000</v>
      </c>
      <c r="G21" s="63"/>
      <c r="H21" s="21">
        <f t="shared" si="5"/>
        <v>24400000</v>
      </c>
      <c r="I21" s="22">
        <f>AGOSTO!I21+AGOSTO!J21</f>
        <v>18600000</v>
      </c>
      <c r="J21" s="22">
        <v>300000</v>
      </c>
      <c r="K21" s="21">
        <f t="shared" si="6"/>
        <v>18900000</v>
      </c>
      <c r="L21" s="16">
        <f t="shared" si="1"/>
        <v>0.77459016393442626</v>
      </c>
      <c r="M21" s="25">
        <f t="shared" si="3"/>
        <v>18900000</v>
      </c>
      <c r="N21" s="26">
        <f>H21-K21</f>
        <v>5500000</v>
      </c>
      <c r="O21" s="18">
        <f>N21/H21</f>
        <v>0.22540983606557377</v>
      </c>
    </row>
    <row r="22" spans="1:15" ht="15" x14ac:dyDescent="0.25">
      <c r="A22" s="19" t="s">
        <v>43</v>
      </c>
      <c r="B22" s="20" t="s">
        <v>44</v>
      </c>
      <c r="C22" s="32">
        <v>0</v>
      </c>
      <c r="D22" s="22"/>
      <c r="E22" s="23"/>
      <c r="F22" s="36"/>
      <c r="G22" s="63"/>
      <c r="H22" s="21">
        <f t="shared" si="5"/>
        <v>0</v>
      </c>
      <c r="I22" s="22">
        <f>AGOSTO!I22+AGOSTO!J22</f>
        <v>0</v>
      </c>
      <c r="J22" s="22">
        <v>0</v>
      </c>
      <c r="K22" s="21">
        <f t="shared" si="6"/>
        <v>0</v>
      </c>
      <c r="L22" s="16">
        <v>0</v>
      </c>
      <c r="M22" s="25">
        <f t="shared" si="3"/>
        <v>0</v>
      </c>
      <c r="N22" s="26">
        <f>H22-K22</f>
        <v>0</v>
      </c>
      <c r="O22" s="18">
        <v>0</v>
      </c>
    </row>
    <row r="23" spans="1:15" ht="15" x14ac:dyDescent="0.25">
      <c r="A23" s="19" t="s">
        <v>45</v>
      </c>
      <c r="B23" s="33" t="s">
        <v>46</v>
      </c>
      <c r="C23" s="31">
        <v>0</v>
      </c>
      <c r="D23" s="22"/>
      <c r="E23" s="23"/>
      <c r="F23" s="36"/>
      <c r="G23" s="63"/>
      <c r="H23" s="21">
        <f t="shared" si="5"/>
        <v>0</v>
      </c>
      <c r="I23" s="22">
        <f>AGOSTO!I23+AGOSTO!J23</f>
        <v>0</v>
      </c>
      <c r="J23" s="27">
        <v>0</v>
      </c>
      <c r="K23" s="21">
        <f t="shared" si="6"/>
        <v>0</v>
      </c>
      <c r="L23" s="16">
        <v>0</v>
      </c>
      <c r="M23" s="25">
        <f t="shared" si="3"/>
        <v>0</v>
      </c>
      <c r="N23" s="26">
        <f>H23-K23</f>
        <v>0</v>
      </c>
      <c r="O23" s="18">
        <v>0</v>
      </c>
    </row>
    <row r="24" spans="1:15" s="72" customFormat="1" ht="27.75" customHeight="1" x14ac:dyDescent="0.2">
      <c r="A24" s="65" t="s">
        <v>47</v>
      </c>
      <c r="B24" s="66" t="s">
        <v>48</v>
      </c>
      <c r="C24" s="68">
        <f t="shared" ref="C24:G24" si="8">SUM(C25:C31)</f>
        <v>26200000</v>
      </c>
      <c r="D24" s="68">
        <f t="shared" si="8"/>
        <v>0</v>
      </c>
      <c r="E24" s="68">
        <f t="shared" si="8"/>
        <v>25000000</v>
      </c>
      <c r="F24" s="68">
        <f t="shared" si="8"/>
        <v>3800000</v>
      </c>
      <c r="G24" s="68">
        <f t="shared" si="8"/>
        <v>15884952</v>
      </c>
      <c r="H24" s="68">
        <f>SUM(H25:H31)</f>
        <v>39115048</v>
      </c>
      <c r="I24" s="68">
        <f t="shared" ref="I24:J24" si="9">SUM(I25:I31)</f>
        <v>29256989</v>
      </c>
      <c r="J24" s="68">
        <f t="shared" si="9"/>
        <v>1071914</v>
      </c>
      <c r="K24" s="68">
        <f>SUM(K25:K31)</f>
        <v>30328903</v>
      </c>
      <c r="L24" s="69">
        <f t="shared" si="1"/>
        <v>0.77537685752041008</v>
      </c>
      <c r="M24" s="75">
        <f t="shared" si="3"/>
        <v>30328903</v>
      </c>
      <c r="N24" s="68">
        <f t="shared" ref="N24" si="10">SUM(N25:N31)</f>
        <v>8786145</v>
      </c>
      <c r="O24" s="71">
        <f t="shared" si="2"/>
        <v>0.22462314247958995</v>
      </c>
    </row>
    <row r="25" spans="1:15" ht="15" x14ac:dyDescent="0.25">
      <c r="A25" s="19" t="s">
        <v>49</v>
      </c>
      <c r="B25" s="33" t="s">
        <v>50</v>
      </c>
      <c r="C25" s="31">
        <v>0</v>
      </c>
      <c r="D25" s="22"/>
      <c r="E25" s="23"/>
      <c r="F25" s="36">
        <v>2000000</v>
      </c>
      <c r="G25" s="63"/>
      <c r="H25" s="21">
        <f t="shared" ref="H25:H31" si="11">C25-D25+E25+F25-G25</f>
        <v>2000000</v>
      </c>
      <c r="I25" s="22">
        <f>AGOSTO!I25+AGOSTO!J25</f>
        <v>1585000</v>
      </c>
      <c r="J25" s="27">
        <v>0</v>
      </c>
      <c r="K25" s="21">
        <f t="shared" ref="K25:K67" si="12">SUM(I25:J25)</f>
        <v>1585000</v>
      </c>
      <c r="L25" s="16">
        <v>0</v>
      </c>
      <c r="M25" s="17">
        <f t="shared" si="3"/>
        <v>1585000</v>
      </c>
      <c r="N25" s="26">
        <f t="shared" ref="N25:N31" si="13">H25-K25</f>
        <v>415000</v>
      </c>
      <c r="O25" s="18">
        <v>0</v>
      </c>
    </row>
    <row r="26" spans="1:15" ht="15" x14ac:dyDescent="0.25">
      <c r="A26" s="19">
        <v>45</v>
      </c>
      <c r="B26" s="33" t="s">
        <v>50</v>
      </c>
      <c r="C26" s="31">
        <v>0</v>
      </c>
      <c r="D26" s="22"/>
      <c r="E26" s="23"/>
      <c r="F26" s="36">
        <v>1000000</v>
      </c>
      <c r="G26" s="63"/>
      <c r="H26" s="21">
        <f t="shared" si="11"/>
        <v>1000000</v>
      </c>
      <c r="I26" s="22">
        <f>AGOSTO!I26+AGOSTO!J26</f>
        <v>0</v>
      </c>
      <c r="J26" s="27">
        <v>0</v>
      </c>
      <c r="K26" s="21"/>
      <c r="L26" s="16">
        <v>0</v>
      </c>
      <c r="M26" s="17">
        <f t="shared" si="3"/>
        <v>0</v>
      </c>
      <c r="N26" s="26">
        <f t="shared" si="13"/>
        <v>1000000</v>
      </c>
      <c r="O26" s="18">
        <v>0</v>
      </c>
    </row>
    <row r="27" spans="1:15" ht="15" x14ac:dyDescent="0.25">
      <c r="A27" s="19" t="s">
        <v>51</v>
      </c>
      <c r="B27" s="34" t="s">
        <v>52</v>
      </c>
      <c r="C27" s="31">
        <v>25000000</v>
      </c>
      <c r="D27" s="22"/>
      <c r="E27" s="23">
        <v>0</v>
      </c>
      <c r="F27" s="36"/>
      <c r="G27" s="63">
        <v>5000000</v>
      </c>
      <c r="H27" s="21">
        <f t="shared" si="11"/>
        <v>20000000</v>
      </c>
      <c r="I27" s="22">
        <f>AGOSTO!I27+AGOSTO!J27</f>
        <v>20000000</v>
      </c>
      <c r="J27" s="22"/>
      <c r="K27" s="21">
        <f t="shared" si="12"/>
        <v>20000000</v>
      </c>
      <c r="L27" s="16">
        <f t="shared" si="1"/>
        <v>1</v>
      </c>
      <c r="M27" s="25">
        <f t="shared" si="3"/>
        <v>20000000</v>
      </c>
      <c r="N27" s="26">
        <f t="shared" si="13"/>
        <v>0</v>
      </c>
      <c r="O27" s="35">
        <f t="shared" si="2"/>
        <v>0</v>
      </c>
    </row>
    <row r="28" spans="1:15" ht="15" x14ac:dyDescent="0.25">
      <c r="A28" s="19">
        <v>45</v>
      </c>
      <c r="B28" s="34" t="s">
        <v>52</v>
      </c>
      <c r="C28" s="31"/>
      <c r="D28" s="22"/>
      <c r="E28" s="23">
        <v>25000000</v>
      </c>
      <c r="F28" s="36"/>
      <c r="G28" s="63">
        <f>9280000+1604952</f>
        <v>10884952</v>
      </c>
      <c r="H28" s="21">
        <f t="shared" si="11"/>
        <v>14115048</v>
      </c>
      <c r="I28" s="22">
        <f>AGOSTO!I28+AGOSTO!J28</f>
        <v>7671989</v>
      </c>
      <c r="J28" s="22">
        <v>1071914</v>
      </c>
      <c r="K28" s="21">
        <f t="shared" si="12"/>
        <v>8743903</v>
      </c>
      <c r="L28" s="16"/>
      <c r="M28" s="25">
        <f t="shared" si="3"/>
        <v>8743903</v>
      </c>
      <c r="N28" s="26">
        <f t="shared" si="13"/>
        <v>5371145</v>
      </c>
      <c r="O28" s="35">
        <f t="shared" si="2"/>
        <v>0.38052615903254455</v>
      </c>
    </row>
    <row r="29" spans="1:15" ht="15" x14ac:dyDescent="0.25">
      <c r="A29" s="19" t="s">
        <v>53</v>
      </c>
      <c r="B29" s="33" t="s">
        <v>54</v>
      </c>
      <c r="C29" s="32">
        <v>1200000</v>
      </c>
      <c r="D29" s="22"/>
      <c r="E29" s="23"/>
      <c r="F29" s="36"/>
      <c r="G29" s="64"/>
      <c r="H29" s="21">
        <f t="shared" si="11"/>
        <v>1200000</v>
      </c>
      <c r="I29" s="22">
        <f>AGOSTO!I29+AGOSTO!J29</f>
        <v>0</v>
      </c>
      <c r="J29" s="22">
        <v>0</v>
      </c>
      <c r="K29" s="21">
        <f t="shared" si="12"/>
        <v>0</v>
      </c>
      <c r="L29" s="16">
        <f t="shared" si="1"/>
        <v>0</v>
      </c>
      <c r="M29" s="17">
        <f t="shared" si="3"/>
        <v>0</v>
      </c>
      <c r="N29" s="26">
        <f t="shared" si="13"/>
        <v>1200000</v>
      </c>
      <c r="O29" s="35">
        <f>N29/H29</f>
        <v>1</v>
      </c>
    </row>
    <row r="30" spans="1:15" ht="15" x14ac:dyDescent="0.25">
      <c r="A30" s="19">
        <v>45</v>
      </c>
      <c r="B30" s="33" t="s">
        <v>54</v>
      </c>
      <c r="C30" s="32">
        <v>0</v>
      </c>
      <c r="D30" s="22"/>
      <c r="E30" s="23"/>
      <c r="F30" s="36">
        <v>800000</v>
      </c>
      <c r="G30" s="64"/>
      <c r="H30" s="21">
        <f t="shared" si="11"/>
        <v>800000</v>
      </c>
      <c r="I30" s="22">
        <f>AGOSTO!I30+AGOSTO!J30</f>
        <v>0</v>
      </c>
      <c r="J30" s="22">
        <v>0</v>
      </c>
      <c r="K30" s="21"/>
      <c r="L30" s="16"/>
      <c r="M30" s="17">
        <f t="shared" si="3"/>
        <v>0</v>
      </c>
      <c r="N30" s="26">
        <f t="shared" si="13"/>
        <v>800000</v>
      </c>
      <c r="O30" s="35">
        <f>N30/H30</f>
        <v>1</v>
      </c>
    </row>
    <row r="31" spans="1:15" ht="15" x14ac:dyDescent="0.25">
      <c r="A31" s="19" t="s">
        <v>55</v>
      </c>
      <c r="B31" s="33" t="s">
        <v>56</v>
      </c>
      <c r="C31" s="32">
        <v>0</v>
      </c>
      <c r="D31" s="22"/>
      <c r="E31" s="23"/>
      <c r="F31" s="36"/>
      <c r="G31" s="63"/>
      <c r="H31" s="21">
        <f t="shared" si="11"/>
        <v>0</v>
      </c>
      <c r="I31" s="22">
        <f>AGOSTO!I31+AGOSTO!J31</f>
        <v>0</v>
      </c>
      <c r="J31" s="22"/>
      <c r="K31" s="21">
        <f t="shared" si="12"/>
        <v>0</v>
      </c>
      <c r="L31" s="16">
        <v>0</v>
      </c>
      <c r="M31" s="17">
        <f t="shared" si="3"/>
        <v>0</v>
      </c>
      <c r="N31" s="26">
        <f t="shared" si="13"/>
        <v>0</v>
      </c>
      <c r="O31" s="35">
        <v>0</v>
      </c>
    </row>
    <row r="32" spans="1:15" s="72" customFormat="1" ht="27.75" customHeight="1" x14ac:dyDescent="0.2">
      <c r="A32" s="65" t="s">
        <v>57</v>
      </c>
      <c r="B32" s="66" t="s">
        <v>58</v>
      </c>
      <c r="C32" s="68">
        <f t="shared" ref="C32:J32" si="14">SUM(C33:C51)</f>
        <v>119922165</v>
      </c>
      <c r="D32" s="68">
        <f t="shared" si="14"/>
        <v>0</v>
      </c>
      <c r="E32" s="68">
        <f t="shared" si="14"/>
        <v>47431604</v>
      </c>
      <c r="F32" s="68">
        <f t="shared" si="14"/>
        <v>42893445</v>
      </c>
      <c r="G32" s="68">
        <f t="shared" si="14"/>
        <v>27600000</v>
      </c>
      <c r="H32" s="68">
        <f t="shared" si="14"/>
        <v>182647214</v>
      </c>
      <c r="I32" s="68">
        <f t="shared" si="14"/>
        <v>151821571</v>
      </c>
      <c r="J32" s="68">
        <f t="shared" si="14"/>
        <v>5675213</v>
      </c>
      <c r="K32" s="68">
        <f>SUM(K33:K51)</f>
        <v>157496784</v>
      </c>
      <c r="L32" s="69">
        <f t="shared" si="1"/>
        <v>0.86230050024195826</v>
      </c>
      <c r="M32" s="70">
        <f>I32+J32</f>
        <v>157496784</v>
      </c>
      <c r="N32" s="75">
        <f>SUM(N33:N51)</f>
        <v>25150430</v>
      </c>
      <c r="O32" s="71">
        <f t="shared" si="2"/>
        <v>0.13769949975804174</v>
      </c>
    </row>
    <row r="33" spans="1:15" ht="15" x14ac:dyDescent="0.25">
      <c r="A33" s="19" t="s">
        <v>59</v>
      </c>
      <c r="B33" s="33" t="s">
        <v>60</v>
      </c>
      <c r="C33" s="31">
        <v>10000000</v>
      </c>
      <c r="D33" s="22"/>
      <c r="E33" s="23">
        <v>0</v>
      </c>
      <c r="F33" s="36">
        <v>2500000</v>
      </c>
      <c r="G33" s="63"/>
      <c r="H33" s="21">
        <f t="shared" ref="H33:H51" si="15">C33-D33+E33+F33-G33</f>
        <v>12500000</v>
      </c>
      <c r="I33" s="22">
        <f>AGOSTO!I33+AGOSTO!J33</f>
        <v>12500000</v>
      </c>
      <c r="J33" s="22">
        <v>0</v>
      </c>
      <c r="K33" s="21">
        <f t="shared" si="12"/>
        <v>12500000</v>
      </c>
      <c r="L33" s="16">
        <f t="shared" si="1"/>
        <v>1</v>
      </c>
      <c r="M33" s="25">
        <f t="shared" si="3"/>
        <v>12500000</v>
      </c>
      <c r="N33" s="26">
        <f t="shared" ref="N33:N47" si="16">H33-K33</f>
        <v>0</v>
      </c>
      <c r="O33" s="35">
        <f t="shared" si="2"/>
        <v>0</v>
      </c>
    </row>
    <row r="34" spans="1:15" ht="15" x14ac:dyDescent="0.25">
      <c r="A34" s="19">
        <v>45</v>
      </c>
      <c r="B34" s="33" t="s">
        <v>60</v>
      </c>
      <c r="C34" s="31"/>
      <c r="D34" s="22"/>
      <c r="E34" s="23">
        <v>15000000</v>
      </c>
      <c r="F34" s="36"/>
      <c r="G34" s="63">
        <v>8000000</v>
      </c>
      <c r="H34" s="21">
        <f t="shared" si="15"/>
        <v>7000000</v>
      </c>
      <c r="I34" s="22">
        <f>AGOSTO!I34+AGOSTO!J34</f>
        <v>2070891</v>
      </c>
      <c r="J34" s="22">
        <v>996000</v>
      </c>
      <c r="K34" s="21">
        <f t="shared" si="12"/>
        <v>3066891</v>
      </c>
      <c r="L34" s="16">
        <f t="shared" si="1"/>
        <v>0.43812728571428572</v>
      </c>
      <c r="M34" s="25">
        <f t="shared" si="3"/>
        <v>3066891</v>
      </c>
      <c r="N34" s="26">
        <f t="shared" si="16"/>
        <v>3933109</v>
      </c>
      <c r="O34" s="35">
        <f t="shared" si="2"/>
        <v>0.56187271428571428</v>
      </c>
    </row>
    <row r="35" spans="1:15" ht="15" x14ac:dyDescent="0.25">
      <c r="A35" s="19" t="s">
        <v>61</v>
      </c>
      <c r="B35" s="33" t="s">
        <v>62</v>
      </c>
      <c r="C35" s="31">
        <v>25000000</v>
      </c>
      <c r="D35" s="22"/>
      <c r="E35" s="23">
        <v>0</v>
      </c>
      <c r="F35" s="36">
        <f>30000000+5000000+4000000</f>
        <v>39000000</v>
      </c>
      <c r="G35" s="63"/>
      <c r="H35" s="21">
        <f t="shared" si="15"/>
        <v>64000000</v>
      </c>
      <c r="I35" s="22">
        <f>AGOSTO!I35+AGOSTO!J35</f>
        <v>60000000</v>
      </c>
      <c r="J35" s="22">
        <f>3153419-254190</f>
        <v>2899229</v>
      </c>
      <c r="K35" s="21">
        <f t="shared" si="12"/>
        <v>62899229</v>
      </c>
      <c r="L35" s="16">
        <f t="shared" si="1"/>
        <v>0.98280045312499997</v>
      </c>
      <c r="M35" s="25">
        <f>J35+I35</f>
        <v>62899229</v>
      </c>
      <c r="N35" s="26">
        <f t="shared" si="16"/>
        <v>1100771</v>
      </c>
      <c r="O35" s="35">
        <f t="shared" si="2"/>
        <v>1.7199546874999999E-2</v>
      </c>
    </row>
    <row r="36" spans="1:15" ht="15" x14ac:dyDescent="0.25">
      <c r="A36" s="19">
        <v>45</v>
      </c>
      <c r="B36" s="33" t="s">
        <v>62</v>
      </c>
      <c r="C36" s="31"/>
      <c r="D36" s="22"/>
      <c r="E36" s="23">
        <v>32431604</v>
      </c>
      <c r="F36" s="36"/>
      <c r="G36" s="63"/>
      <c r="H36" s="21">
        <f t="shared" si="15"/>
        <v>32431604</v>
      </c>
      <c r="I36" s="22">
        <f>AGOSTO!I36+AGOSTO!J36</f>
        <v>32177414</v>
      </c>
      <c r="J36" s="22">
        <v>254190</v>
      </c>
      <c r="K36" s="21">
        <f t="shared" si="12"/>
        <v>32431604</v>
      </c>
      <c r="L36" s="16">
        <f t="shared" si="1"/>
        <v>1</v>
      </c>
      <c r="M36" s="25">
        <f>J36+I36</f>
        <v>32431604</v>
      </c>
      <c r="N36" s="26">
        <f t="shared" si="16"/>
        <v>0</v>
      </c>
      <c r="O36" s="35">
        <f t="shared" si="2"/>
        <v>0</v>
      </c>
    </row>
    <row r="37" spans="1:15" ht="15" x14ac:dyDescent="0.25">
      <c r="A37" s="19" t="s">
        <v>63</v>
      </c>
      <c r="B37" s="33" t="s">
        <v>64</v>
      </c>
      <c r="C37" s="31">
        <v>4400000</v>
      </c>
      <c r="D37" s="22"/>
      <c r="E37" s="23"/>
      <c r="F37" s="36"/>
      <c r="G37" s="63">
        <v>2000000</v>
      </c>
      <c r="H37" s="21">
        <f t="shared" si="15"/>
        <v>2400000</v>
      </c>
      <c r="I37" s="22">
        <f>AGOSTO!I37+AGOSTO!J37</f>
        <v>1801000</v>
      </c>
      <c r="J37" s="43">
        <v>396069</v>
      </c>
      <c r="K37" s="21">
        <f t="shared" si="12"/>
        <v>2197069</v>
      </c>
      <c r="L37" s="16">
        <f t="shared" si="1"/>
        <v>0.91544541666666668</v>
      </c>
      <c r="M37" s="25">
        <f t="shared" si="3"/>
        <v>2197069</v>
      </c>
      <c r="N37" s="26">
        <f t="shared" si="16"/>
        <v>202931</v>
      </c>
      <c r="O37" s="35">
        <f t="shared" si="2"/>
        <v>8.4554583333333336E-2</v>
      </c>
    </row>
    <row r="38" spans="1:15" ht="15" x14ac:dyDescent="0.25">
      <c r="A38" s="19" t="s">
        <v>65</v>
      </c>
      <c r="B38" s="33" t="s">
        <v>66</v>
      </c>
      <c r="C38" s="32">
        <v>10000000</v>
      </c>
      <c r="D38" s="22"/>
      <c r="E38" s="23"/>
      <c r="F38" s="36"/>
      <c r="G38" s="63"/>
      <c r="H38" s="21">
        <f t="shared" si="15"/>
        <v>10000000</v>
      </c>
      <c r="I38" s="22">
        <f>AGOSTO!I38+AGOSTO!J38</f>
        <v>7466702</v>
      </c>
      <c r="J38" s="43">
        <v>486600</v>
      </c>
      <c r="K38" s="21">
        <f t="shared" si="12"/>
        <v>7953302</v>
      </c>
      <c r="L38" s="16">
        <f t="shared" si="1"/>
        <v>0.79533019999999999</v>
      </c>
      <c r="M38" s="25">
        <f t="shared" si="3"/>
        <v>7953302</v>
      </c>
      <c r="N38" s="26">
        <f t="shared" si="16"/>
        <v>2046698</v>
      </c>
      <c r="O38" s="18">
        <f t="shared" si="2"/>
        <v>0.20466980000000001</v>
      </c>
    </row>
    <row r="39" spans="1:15" ht="15" x14ac:dyDescent="0.25">
      <c r="A39" s="19" t="s">
        <v>67</v>
      </c>
      <c r="B39" s="33" t="s">
        <v>68</v>
      </c>
      <c r="C39" s="32">
        <v>4800000</v>
      </c>
      <c r="D39" s="22"/>
      <c r="E39" s="23"/>
      <c r="F39" s="36"/>
      <c r="G39" s="63"/>
      <c r="H39" s="21">
        <f t="shared" si="15"/>
        <v>4800000</v>
      </c>
      <c r="I39" s="22">
        <f>AGOSTO!I39+AGOSTO!J39</f>
        <v>4158229</v>
      </c>
      <c r="J39" s="43">
        <v>511420</v>
      </c>
      <c r="K39" s="21">
        <f t="shared" si="12"/>
        <v>4669649</v>
      </c>
      <c r="L39" s="16">
        <f t="shared" si="1"/>
        <v>0.97284354166666664</v>
      </c>
      <c r="M39" s="25">
        <f t="shared" si="3"/>
        <v>4669649</v>
      </c>
      <c r="N39" s="26">
        <f t="shared" si="16"/>
        <v>130351</v>
      </c>
      <c r="O39" s="18">
        <f t="shared" si="2"/>
        <v>2.7156458333333335E-2</v>
      </c>
    </row>
    <row r="40" spans="1:15" ht="15" x14ac:dyDescent="0.25">
      <c r="A40" s="19" t="s">
        <v>69</v>
      </c>
      <c r="B40" s="33" t="s">
        <v>70</v>
      </c>
      <c r="C40" s="32">
        <v>3200000</v>
      </c>
      <c r="D40" s="22"/>
      <c r="E40" s="23"/>
      <c r="F40" s="36"/>
      <c r="G40" s="63"/>
      <c r="H40" s="21">
        <f t="shared" si="15"/>
        <v>3200000</v>
      </c>
      <c r="I40" s="22">
        <f>AGOSTO!I40+AGOSTO!J40</f>
        <v>735890</v>
      </c>
      <c r="J40" s="27">
        <v>131705</v>
      </c>
      <c r="K40" s="21">
        <f t="shared" si="12"/>
        <v>867595</v>
      </c>
      <c r="L40" s="16">
        <f t="shared" si="1"/>
        <v>0.27112343750000001</v>
      </c>
      <c r="M40" s="25">
        <f t="shared" si="3"/>
        <v>867595</v>
      </c>
      <c r="N40" s="26">
        <f t="shared" si="16"/>
        <v>2332405</v>
      </c>
      <c r="O40" s="18">
        <v>0</v>
      </c>
    </row>
    <row r="41" spans="1:15" ht="15" x14ac:dyDescent="0.25">
      <c r="A41" s="19" t="s">
        <v>71</v>
      </c>
      <c r="B41" s="34" t="s">
        <v>72</v>
      </c>
      <c r="C41" s="32">
        <v>3822165</v>
      </c>
      <c r="D41" s="22"/>
      <c r="E41" s="23"/>
      <c r="F41" s="36"/>
      <c r="G41" s="63"/>
      <c r="H41" s="21">
        <f t="shared" si="15"/>
        <v>3822165</v>
      </c>
      <c r="I41" s="22">
        <f>AGOSTO!I41+AGOSTO!J41</f>
        <v>0</v>
      </c>
      <c r="J41" s="22">
        <v>0</v>
      </c>
      <c r="K41" s="21">
        <f t="shared" si="12"/>
        <v>0</v>
      </c>
      <c r="L41" s="16">
        <f t="shared" si="1"/>
        <v>0</v>
      </c>
      <c r="M41" s="25">
        <f t="shared" si="3"/>
        <v>0</v>
      </c>
      <c r="N41" s="26">
        <f t="shared" si="16"/>
        <v>3822165</v>
      </c>
      <c r="O41" s="18">
        <f t="shared" ref="O41:O71" si="17">N41/H41</f>
        <v>1</v>
      </c>
    </row>
    <row r="42" spans="1:15" ht="15" x14ac:dyDescent="0.25">
      <c r="A42" s="19" t="s">
        <v>73</v>
      </c>
      <c r="B42" s="33" t="s">
        <v>74</v>
      </c>
      <c r="C42" s="32">
        <v>0</v>
      </c>
      <c r="D42" s="22"/>
      <c r="E42" s="23"/>
      <c r="F42" s="38"/>
      <c r="G42" s="63"/>
      <c r="H42" s="21">
        <f t="shared" si="15"/>
        <v>0</v>
      </c>
      <c r="I42" s="22">
        <f>AGOSTO!I42+AGOSTO!J42</f>
        <v>0</v>
      </c>
      <c r="J42" s="22">
        <v>0</v>
      </c>
      <c r="K42" s="21">
        <f t="shared" si="12"/>
        <v>0</v>
      </c>
      <c r="L42" s="16">
        <v>0</v>
      </c>
      <c r="M42" s="25">
        <f t="shared" si="3"/>
        <v>0</v>
      </c>
      <c r="N42" s="26">
        <f t="shared" si="16"/>
        <v>0</v>
      </c>
      <c r="O42" s="18">
        <v>0</v>
      </c>
    </row>
    <row r="43" spans="1:15" ht="15" x14ac:dyDescent="0.25">
      <c r="A43" s="19" t="s">
        <v>75</v>
      </c>
      <c r="B43" s="33" t="s">
        <v>76</v>
      </c>
      <c r="C43" s="32">
        <v>11000000</v>
      </c>
      <c r="D43" s="22"/>
      <c r="E43" s="23"/>
      <c r="F43" s="36"/>
      <c r="G43" s="63">
        <v>3600000</v>
      </c>
      <c r="H43" s="21">
        <f t="shared" si="15"/>
        <v>7400000</v>
      </c>
      <c r="I43" s="22">
        <f>AGOSTO!I43+AGOSTO!J43</f>
        <v>7400000</v>
      </c>
      <c r="J43" s="45">
        <v>0</v>
      </c>
      <c r="K43" s="21">
        <f t="shared" si="12"/>
        <v>7400000</v>
      </c>
      <c r="L43" s="16">
        <f t="shared" si="1"/>
        <v>1</v>
      </c>
      <c r="M43" s="25">
        <f t="shared" si="3"/>
        <v>7400000</v>
      </c>
      <c r="N43" s="26">
        <f t="shared" si="16"/>
        <v>0</v>
      </c>
      <c r="O43" s="18">
        <f t="shared" si="17"/>
        <v>0</v>
      </c>
    </row>
    <row r="44" spans="1:15" ht="15" x14ac:dyDescent="0.25">
      <c r="A44" s="19">
        <v>45</v>
      </c>
      <c r="B44" s="33" t="s">
        <v>76</v>
      </c>
      <c r="C44" s="32">
        <v>0</v>
      </c>
      <c r="D44" s="22"/>
      <c r="E44" s="23"/>
      <c r="F44" s="36">
        <v>513445</v>
      </c>
      <c r="G44" s="63"/>
      <c r="H44" s="21">
        <f t="shared" si="15"/>
        <v>513445</v>
      </c>
      <c r="I44" s="22">
        <f>AGOSTO!I44+AGOSTO!J44</f>
        <v>513445</v>
      </c>
      <c r="J44" s="45">
        <v>0</v>
      </c>
      <c r="K44" s="21">
        <f t="shared" si="12"/>
        <v>513445</v>
      </c>
      <c r="L44" s="16">
        <f t="shared" si="1"/>
        <v>1</v>
      </c>
      <c r="M44" s="25">
        <f t="shared" si="3"/>
        <v>513445</v>
      </c>
      <c r="N44" s="26">
        <f t="shared" si="16"/>
        <v>0</v>
      </c>
      <c r="O44" s="18">
        <f t="shared" si="17"/>
        <v>0</v>
      </c>
    </row>
    <row r="45" spans="1:15" ht="15" x14ac:dyDescent="0.25">
      <c r="A45" s="19" t="s">
        <v>77</v>
      </c>
      <c r="B45" s="34" t="s">
        <v>78</v>
      </c>
      <c r="C45" s="32">
        <v>20700000</v>
      </c>
      <c r="D45" s="22"/>
      <c r="E45" s="23"/>
      <c r="F45" s="36"/>
      <c r="G45" s="63">
        <v>10000000</v>
      </c>
      <c r="H45" s="21">
        <f t="shared" si="15"/>
        <v>10700000</v>
      </c>
      <c r="I45" s="22">
        <f>AGOSTO!I45+AGOSTO!J45</f>
        <v>0</v>
      </c>
      <c r="J45" s="45">
        <v>0</v>
      </c>
      <c r="K45" s="21">
        <f t="shared" si="12"/>
        <v>0</v>
      </c>
      <c r="L45" s="16">
        <f t="shared" si="1"/>
        <v>0</v>
      </c>
      <c r="M45" s="25">
        <f t="shared" si="3"/>
        <v>0</v>
      </c>
      <c r="N45" s="26">
        <f t="shared" si="16"/>
        <v>10700000</v>
      </c>
      <c r="O45" s="35">
        <f t="shared" si="17"/>
        <v>1</v>
      </c>
    </row>
    <row r="46" spans="1:15" ht="15" x14ac:dyDescent="0.25">
      <c r="A46" s="19" t="s">
        <v>79</v>
      </c>
      <c r="B46" s="33" t="s">
        <v>80</v>
      </c>
      <c r="C46" s="32">
        <v>3000000</v>
      </c>
      <c r="D46" s="22"/>
      <c r="E46" s="23"/>
      <c r="F46" s="36"/>
      <c r="G46" s="63"/>
      <c r="H46" s="21">
        <f t="shared" si="15"/>
        <v>3000000</v>
      </c>
      <c r="I46" s="22">
        <f>AGOSTO!I46+AGOSTO!J46</f>
        <v>2998000</v>
      </c>
      <c r="J46" s="45">
        <v>0</v>
      </c>
      <c r="K46" s="21">
        <f t="shared" si="12"/>
        <v>2998000</v>
      </c>
      <c r="L46" s="16">
        <f t="shared" si="1"/>
        <v>0.9993333333333333</v>
      </c>
      <c r="M46" s="25">
        <f t="shared" si="3"/>
        <v>2998000</v>
      </c>
      <c r="N46" s="26">
        <f t="shared" si="16"/>
        <v>2000</v>
      </c>
      <c r="O46" s="35">
        <f t="shared" si="17"/>
        <v>6.6666666666666664E-4</v>
      </c>
    </row>
    <row r="47" spans="1:15" ht="15" x14ac:dyDescent="0.25">
      <c r="A47" s="19" t="s">
        <v>81</v>
      </c>
      <c r="B47" s="33" t="s">
        <v>82</v>
      </c>
      <c r="C47" s="32">
        <v>20000000</v>
      </c>
      <c r="D47" s="22"/>
      <c r="E47" s="23"/>
      <c r="F47" s="36"/>
      <c r="G47" s="63"/>
      <c r="H47" s="21">
        <f t="shared" si="15"/>
        <v>20000000</v>
      </c>
      <c r="I47" s="22">
        <f>AGOSTO!I47+AGOSTO!J47</f>
        <v>20000000</v>
      </c>
      <c r="J47" s="22">
        <v>0</v>
      </c>
      <c r="K47" s="21">
        <f t="shared" si="12"/>
        <v>20000000</v>
      </c>
      <c r="L47" s="16">
        <f t="shared" si="1"/>
        <v>1</v>
      </c>
      <c r="M47" s="25">
        <f t="shared" si="3"/>
        <v>20000000</v>
      </c>
      <c r="N47" s="26">
        <f t="shared" si="16"/>
        <v>0</v>
      </c>
      <c r="O47" s="18">
        <f t="shared" si="17"/>
        <v>0</v>
      </c>
    </row>
    <row r="48" spans="1:15" ht="15" x14ac:dyDescent="0.25">
      <c r="A48" s="19" t="s">
        <v>83</v>
      </c>
      <c r="B48" s="33" t="s">
        <v>84</v>
      </c>
      <c r="C48" s="32">
        <v>4000000</v>
      </c>
      <c r="D48" s="22"/>
      <c r="E48" s="23"/>
      <c r="F48" s="36"/>
      <c r="G48" s="63">
        <v>4000000</v>
      </c>
      <c r="H48" s="21">
        <f t="shared" si="15"/>
        <v>0</v>
      </c>
      <c r="I48" s="22">
        <f>AGOSTO!I48+AGOSTO!J48</f>
        <v>0</v>
      </c>
      <c r="J48" s="22">
        <v>0</v>
      </c>
      <c r="K48" s="21">
        <f t="shared" si="12"/>
        <v>0</v>
      </c>
      <c r="L48" s="16">
        <v>0</v>
      </c>
      <c r="M48" s="25">
        <f t="shared" si="3"/>
        <v>0</v>
      </c>
      <c r="N48" s="26">
        <f>H48-K48</f>
        <v>0</v>
      </c>
      <c r="O48" s="18">
        <v>0</v>
      </c>
    </row>
    <row r="49" spans="1:17" ht="15" x14ac:dyDescent="0.25">
      <c r="A49" s="19" t="s">
        <v>85</v>
      </c>
      <c r="B49" s="33" t="s">
        <v>86</v>
      </c>
      <c r="C49" s="32">
        <v>0</v>
      </c>
      <c r="D49" s="22"/>
      <c r="E49" s="23"/>
      <c r="F49" s="36"/>
      <c r="G49" s="63"/>
      <c r="H49" s="21">
        <f t="shared" si="15"/>
        <v>0</v>
      </c>
      <c r="I49" s="22">
        <f>AGOSTO!I49+AGOSTO!J49</f>
        <v>0</v>
      </c>
      <c r="J49" s="22">
        <v>0</v>
      </c>
      <c r="K49" s="21">
        <f t="shared" si="12"/>
        <v>0</v>
      </c>
      <c r="L49" s="16">
        <v>0</v>
      </c>
      <c r="M49" s="25">
        <f t="shared" si="3"/>
        <v>0</v>
      </c>
      <c r="N49" s="26">
        <f>H49-K49</f>
        <v>0</v>
      </c>
      <c r="O49" s="18">
        <v>0</v>
      </c>
    </row>
    <row r="50" spans="1:17" ht="15" x14ac:dyDescent="0.25">
      <c r="A50" s="183">
        <v>2020120215</v>
      </c>
      <c r="B50" s="33" t="s">
        <v>126</v>
      </c>
      <c r="C50" s="182">
        <v>0</v>
      </c>
      <c r="D50" s="22"/>
      <c r="E50" s="23"/>
      <c r="F50" s="36">
        <v>0</v>
      </c>
      <c r="G50" s="63"/>
      <c r="H50" s="21">
        <f t="shared" si="15"/>
        <v>0</v>
      </c>
      <c r="I50" s="22">
        <f>AGOSTO!I50+AGOSTO!J50</f>
        <v>0</v>
      </c>
      <c r="J50" s="22">
        <v>0</v>
      </c>
      <c r="K50" s="21">
        <f t="shared" si="12"/>
        <v>0</v>
      </c>
      <c r="L50" s="16">
        <v>0</v>
      </c>
      <c r="M50" s="25">
        <f t="shared" si="3"/>
        <v>0</v>
      </c>
      <c r="N50" s="26">
        <f>H50-K50</f>
        <v>0</v>
      </c>
      <c r="O50" s="18">
        <v>0</v>
      </c>
    </row>
    <row r="51" spans="1:17" ht="15" x14ac:dyDescent="0.25">
      <c r="A51" s="183">
        <v>45</v>
      </c>
      <c r="B51" s="33" t="s">
        <v>126</v>
      </c>
      <c r="C51" s="182">
        <v>0</v>
      </c>
      <c r="D51" s="22"/>
      <c r="E51" s="23"/>
      <c r="F51" s="36">
        <v>880000</v>
      </c>
      <c r="G51" s="63"/>
      <c r="H51" s="21">
        <f t="shared" si="15"/>
        <v>880000</v>
      </c>
      <c r="I51" s="22">
        <f>AGOSTO!I51+AGOSTO!J51</f>
        <v>0</v>
      </c>
      <c r="J51" s="22">
        <v>0</v>
      </c>
      <c r="K51" s="21">
        <f t="shared" si="12"/>
        <v>0</v>
      </c>
      <c r="L51" s="16">
        <v>0</v>
      </c>
      <c r="M51" s="25">
        <f t="shared" si="3"/>
        <v>0</v>
      </c>
      <c r="N51" s="26">
        <f>H51-K51</f>
        <v>880000</v>
      </c>
      <c r="O51" s="18">
        <v>0</v>
      </c>
    </row>
    <row r="52" spans="1:17" s="72" customFormat="1" ht="27.75" customHeight="1" x14ac:dyDescent="0.2">
      <c r="A52" s="65" t="s">
        <v>87</v>
      </c>
      <c r="B52" s="82" t="s">
        <v>88</v>
      </c>
      <c r="C52" s="73">
        <f>SUM(C53:C56)</f>
        <v>115800000</v>
      </c>
      <c r="D52" s="73">
        <f t="shared" ref="D52:J52" si="18">SUM(D53:D56)</f>
        <v>30000000</v>
      </c>
      <c r="E52" s="73">
        <f t="shared" si="18"/>
        <v>0</v>
      </c>
      <c r="F52" s="73">
        <f t="shared" si="18"/>
        <v>0</v>
      </c>
      <c r="G52" s="73">
        <f t="shared" si="18"/>
        <v>0</v>
      </c>
      <c r="H52" s="73">
        <f t="shared" si="18"/>
        <v>115800000</v>
      </c>
      <c r="I52" s="73">
        <f t="shared" si="18"/>
        <v>66902827</v>
      </c>
      <c r="J52" s="73">
        <f t="shared" si="18"/>
        <v>3839193</v>
      </c>
      <c r="K52" s="68">
        <f t="shared" ref="K52" si="19">K53+K54+K55+K56</f>
        <v>70742020</v>
      </c>
      <c r="L52" s="69">
        <f t="shared" si="1"/>
        <v>0.61089827288428322</v>
      </c>
      <c r="M52" s="73">
        <f t="shared" si="3"/>
        <v>70742020</v>
      </c>
      <c r="N52" s="73">
        <f t="shared" ref="N52" si="20">SUM(N53:N56)</f>
        <v>15057980</v>
      </c>
      <c r="O52" s="71">
        <f t="shared" si="17"/>
        <v>0.13003436960276338</v>
      </c>
    </row>
    <row r="53" spans="1:17" ht="15" x14ac:dyDescent="0.25">
      <c r="A53" s="19" t="s">
        <v>89</v>
      </c>
      <c r="B53" s="33" t="s">
        <v>90</v>
      </c>
      <c r="C53" s="21">
        <v>33000000</v>
      </c>
      <c r="D53" s="22">
        <v>30000000</v>
      </c>
      <c r="E53" s="23"/>
      <c r="F53" s="36"/>
      <c r="G53" s="63"/>
      <c r="H53" s="21">
        <f>C53+E53+F53-G53</f>
        <v>33000000</v>
      </c>
      <c r="I53" s="22">
        <f>AGOSTO!I53+AGOSTO!J53</f>
        <v>2092310</v>
      </c>
      <c r="J53" s="44">
        <v>0</v>
      </c>
      <c r="K53" s="21">
        <f t="shared" si="12"/>
        <v>2092310</v>
      </c>
      <c r="L53" s="16">
        <f t="shared" si="1"/>
        <v>6.3403333333333339E-2</v>
      </c>
      <c r="M53" s="25">
        <f t="shared" si="3"/>
        <v>2092310</v>
      </c>
      <c r="N53" s="26">
        <f>H53-K53-D53</f>
        <v>907690</v>
      </c>
      <c r="O53" s="18">
        <f t="shared" si="17"/>
        <v>2.7505757575757576E-2</v>
      </c>
    </row>
    <row r="54" spans="1:17" ht="15" x14ac:dyDescent="0.25">
      <c r="A54" s="19" t="s">
        <v>91</v>
      </c>
      <c r="B54" s="33" t="s">
        <v>92</v>
      </c>
      <c r="C54" s="21">
        <v>38000000</v>
      </c>
      <c r="D54" s="22"/>
      <c r="E54" s="23"/>
      <c r="F54" s="36"/>
      <c r="G54" s="63"/>
      <c r="H54" s="21">
        <f>C54-D54+E54+F54-G54</f>
        <v>38000000</v>
      </c>
      <c r="I54" s="22">
        <f>AGOSTO!I54+AGOSTO!J54</f>
        <v>27447005</v>
      </c>
      <c r="J54" s="43">
        <v>3839193</v>
      </c>
      <c r="K54" s="21">
        <f t="shared" si="12"/>
        <v>31286198</v>
      </c>
      <c r="L54" s="16">
        <f t="shared" si="1"/>
        <v>0.82332099999999997</v>
      </c>
      <c r="M54" s="25">
        <f t="shared" si="3"/>
        <v>31286198</v>
      </c>
      <c r="N54" s="26">
        <f>H54-K54</f>
        <v>6713802</v>
      </c>
      <c r="O54" s="18">
        <f t="shared" si="17"/>
        <v>0.176679</v>
      </c>
      <c r="Q54" s="37"/>
    </row>
    <row r="55" spans="1:17" ht="15" x14ac:dyDescent="0.25">
      <c r="A55" s="28">
        <v>2020110304</v>
      </c>
      <c r="B55" s="33" t="s">
        <v>93</v>
      </c>
      <c r="C55" s="21">
        <v>36800000</v>
      </c>
      <c r="D55" s="22"/>
      <c r="E55" s="23"/>
      <c r="F55" s="36"/>
      <c r="G55" s="63"/>
      <c r="H55" s="21">
        <f>C55-D55+E55+F55-G55</f>
        <v>36800000</v>
      </c>
      <c r="I55" s="22">
        <f>AGOSTO!I55+AGOSTO!J55</f>
        <v>36800000</v>
      </c>
      <c r="J55" s="43">
        <v>0</v>
      </c>
      <c r="K55" s="21">
        <f t="shared" si="12"/>
        <v>36800000</v>
      </c>
      <c r="L55" s="16">
        <f t="shared" si="1"/>
        <v>1</v>
      </c>
      <c r="M55" s="25">
        <f t="shared" si="3"/>
        <v>36800000</v>
      </c>
      <c r="N55" s="26">
        <f>H55-K55</f>
        <v>0</v>
      </c>
      <c r="O55" s="18">
        <f t="shared" si="17"/>
        <v>0</v>
      </c>
      <c r="Q55" s="37"/>
    </row>
    <row r="56" spans="1:17" ht="15" x14ac:dyDescent="0.25">
      <c r="A56" s="28">
        <v>2020110305</v>
      </c>
      <c r="B56" s="33" t="s">
        <v>94</v>
      </c>
      <c r="C56" s="21">
        <v>8000000</v>
      </c>
      <c r="D56" s="15"/>
      <c r="E56" s="23"/>
      <c r="F56" s="36"/>
      <c r="G56" s="46"/>
      <c r="H56" s="21">
        <f>C56-D56+E56+F56-G56</f>
        <v>8000000</v>
      </c>
      <c r="I56" s="22">
        <f>AGOSTO!I56+AGOSTO!J56</f>
        <v>563512</v>
      </c>
      <c r="J56" s="21">
        <v>0</v>
      </c>
      <c r="K56" s="21">
        <f t="shared" si="12"/>
        <v>563512</v>
      </c>
      <c r="L56" s="16">
        <f t="shared" si="1"/>
        <v>7.0439000000000002E-2</v>
      </c>
      <c r="M56" s="25">
        <f t="shared" si="3"/>
        <v>563512</v>
      </c>
      <c r="N56" s="26">
        <f>H56-K56</f>
        <v>7436488</v>
      </c>
      <c r="O56" s="18">
        <f t="shared" si="17"/>
        <v>0.92956099999999997</v>
      </c>
      <c r="Q56" s="37"/>
    </row>
    <row r="57" spans="1:17" s="72" customFormat="1" ht="27.75" customHeight="1" x14ac:dyDescent="0.2">
      <c r="A57" s="65">
        <v>20201104</v>
      </c>
      <c r="B57" s="83" t="s">
        <v>96</v>
      </c>
      <c r="C57" s="73">
        <f>SUM(C58:C67)</f>
        <v>100800000</v>
      </c>
      <c r="D57" s="73">
        <f t="shared" ref="D57:H57" si="21">SUM(D58:D67)</f>
        <v>16000000</v>
      </c>
      <c r="E57" s="73">
        <f t="shared" si="21"/>
        <v>0</v>
      </c>
      <c r="F57" s="73">
        <f t="shared" si="21"/>
        <v>0</v>
      </c>
      <c r="G57" s="73">
        <f t="shared" si="21"/>
        <v>0</v>
      </c>
      <c r="H57" s="73">
        <f t="shared" si="21"/>
        <v>100800000</v>
      </c>
      <c r="I57" s="68">
        <f>SUM(I58:I67)</f>
        <v>37647912</v>
      </c>
      <c r="J57" s="68">
        <f>SUM(J58:J67)</f>
        <v>8542906</v>
      </c>
      <c r="K57" s="68">
        <f t="shared" si="12"/>
        <v>46190818</v>
      </c>
      <c r="L57" s="69">
        <f t="shared" si="1"/>
        <v>0.45824224206349207</v>
      </c>
      <c r="M57" s="70">
        <f t="shared" si="3"/>
        <v>46190818</v>
      </c>
      <c r="N57" s="75">
        <f>SUM(N58:N67)</f>
        <v>38609182</v>
      </c>
      <c r="O57" s="71">
        <f t="shared" si="17"/>
        <v>0.38302759920634921</v>
      </c>
      <c r="Q57" s="79"/>
    </row>
    <row r="58" spans="1:17" ht="15" x14ac:dyDescent="0.25">
      <c r="A58" s="78" t="s">
        <v>97</v>
      </c>
      <c r="B58" s="33" t="s">
        <v>98</v>
      </c>
      <c r="C58" s="31">
        <v>21000000</v>
      </c>
      <c r="D58" s="22">
        <v>16000000</v>
      </c>
      <c r="E58" s="23"/>
      <c r="F58" s="36"/>
      <c r="G58" s="63"/>
      <c r="H58" s="21">
        <f>C58+E58+F58-G58</f>
        <v>21000000</v>
      </c>
      <c r="I58" s="22">
        <f>AGOSTO!I58+AGOSTO!J58</f>
        <v>4435100</v>
      </c>
      <c r="J58" s="27">
        <v>0</v>
      </c>
      <c r="K58" s="21">
        <f t="shared" si="12"/>
        <v>4435100</v>
      </c>
      <c r="L58" s="16">
        <f t="shared" si="1"/>
        <v>0.2111952380952381</v>
      </c>
      <c r="M58" s="25">
        <f t="shared" si="3"/>
        <v>4435100</v>
      </c>
      <c r="N58" s="26">
        <f>H58-K58-D58</f>
        <v>564900</v>
      </c>
      <c r="O58" s="18">
        <f t="shared" si="17"/>
        <v>2.69E-2</v>
      </c>
      <c r="Q58" s="37"/>
    </row>
    <row r="59" spans="1:17" ht="15" x14ac:dyDescent="0.25">
      <c r="A59" s="19" t="s">
        <v>99</v>
      </c>
      <c r="B59" s="33" t="s">
        <v>92</v>
      </c>
      <c r="C59" s="31">
        <v>0</v>
      </c>
      <c r="D59" s="22"/>
      <c r="E59" s="23"/>
      <c r="F59" s="36"/>
      <c r="G59" s="63"/>
      <c r="H59" s="21">
        <f t="shared" ref="H59:H70" si="22">C59-D59+E59+F59-G59</f>
        <v>0</v>
      </c>
      <c r="I59" s="22">
        <f>AGOSTO!I59+AGOSTO!J59</f>
        <v>0</v>
      </c>
      <c r="J59" s="22">
        <v>0</v>
      </c>
      <c r="K59" s="21">
        <f t="shared" si="12"/>
        <v>0</v>
      </c>
      <c r="L59" s="16">
        <v>0</v>
      </c>
      <c r="M59" s="17">
        <f t="shared" si="3"/>
        <v>0</v>
      </c>
      <c r="N59" s="26">
        <f t="shared" ref="N59:N70" si="23">H59-K59</f>
        <v>0</v>
      </c>
      <c r="O59" s="18">
        <v>0</v>
      </c>
      <c r="Q59" s="37"/>
    </row>
    <row r="60" spans="1:17" ht="15" x14ac:dyDescent="0.25">
      <c r="A60" s="19" t="s">
        <v>100</v>
      </c>
      <c r="B60" s="33" t="s">
        <v>101</v>
      </c>
      <c r="C60" s="31">
        <v>3000000</v>
      </c>
      <c r="D60" s="22"/>
      <c r="E60" s="23"/>
      <c r="F60" s="36"/>
      <c r="G60" s="63"/>
      <c r="H60" s="21">
        <f t="shared" si="22"/>
        <v>3000000</v>
      </c>
      <c r="I60" s="22">
        <f>AGOSTO!I60+AGOSTO!J60</f>
        <v>2099200</v>
      </c>
      <c r="J60" s="43">
        <v>267200</v>
      </c>
      <c r="K60" s="21">
        <f t="shared" si="12"/>
        <v>2366400</v>
      </c>
      <c r="L60" s="16">
        <f t="shared" si="1"/>
        <v>0.78879999999999995</v>
      </c>
      <c r="M60" s="25">
        <f t="shared" si="3"/>
        <v>2366400</v>
      </c>
      <c r="N60" s="26">
        <f t="shared" si="23"/>
        <v>633600</v>
      </c>
      <c r="O60" s="18">
        <f t="shared" si="17"/>
        <v>0.2112</v>
      </c>
      <c r="Q60" s="37"/>
    </row>
    <row r="61" spans="1:17" ht="15" x14ac:dyDescent="0.25">
      <c r="A61" s="19" t="s">
        <v>102</v>
      </c>
      <c r="B61" s="33" t="s">
        <v>93</v>
      </c>
      <c r="C61" s="32">
        <v>22000000</v>
      </c>
      <c r="D61" s="22"/>
      <c r="E61" s="23"/>
      <c r="F61" s="36"/>
      <c r="G61" s="63"/>
      <c r="H61" s="21">
        <f t="shared" si="22"/>
        <v>22000000</v>
      </c>
      <c r="I61" s="22">
        <f>AGOSTO!I61+AGOSTO!J61</f>
        <v>2262512</v>
      </c>
      <c r="J61" s="39">
        <v>4727806</v>
      </c>
      <c r="K61" s="21">
        <f t="shared" si="12"/>
        <v>6990318</v>
      </c>
      <c r="L61" s="16">
        <f t="shared" si="1"/>
        <v>0.31774172727272726</v>
      </c>
      <c r="M61" s="25">
        <f t="shared" si="3"/>
        <v>6990318</v>
      </c>
      <c r="N61" s="26">
        <f t="shared" si="23"/>
        <v>15009682</v>
      </c>
      <c r="O61" s="18">
        <f t="shared" si="17"/>
        <v>0.68225827272727269</v>
      </c>
      <c r="Q61" s="37"/>
    </row>
    <row r="62" spans="1:17" ht="15" x14ac:dyDescent="0.25">
      <c r="A62" s="19" t="s">
        <v>103</v>
      </c>
      <c r="B62" s="33" t="s">
        <v>104</v>
      </c>
      <c r="C62" s="32">
        <v>23000000</v>
      </c>
      <c r="D62" s="22"/>
      <c r="E62" s="23"/>
      <c r="F62" s="36"/>
      <c r="G62" s="63"/>
      <c r="H62" s="21">
        <f t="shared" si="22"/>
        <v>23000000</v>
      </c>
      <c r="I62" s="22">
        <f>AGOSTO!I62+AGOSTO!J62</f>
        <v>12843500</v>
      </c>
      <c r="J62" s="43">
        <v>1576100</v>
      </c>
      <c r="K62" s="21">
        <f t="shared" si="12"/>
        <v>14419600</v>
      </c>
      <c r="L62" s="16">
        <f t="shared" si="1"/>
        <v>0.62693913043478255</v>
      </c>
      <c r="M62" s="25">
        <f t="shared" si="3"/>
        <v>14419600</v>
      </c>
      <c r="N62" s="26">
        <f t="shared" si="23"/>
        <v>8580400</v>
      </c>
      <c r="O62" s="18">
        <f t="shared" si="17"/>
        <v>0.37306086956521739</v>
      </c>
      <c r="Q62" s="37"/>
    </row>
    <row r="63" spans="1:17" ht="15" x14ac:dyDescent="0.25">
      <c r="A63" s="19" t="s">
        <v>105</v>
      </c>
      <c r="B63" s="33" t="s">
        <v>106</v>
      </c>
      <c r="C63" s="32">
        <v>19800000</v>
      </c>
      <c r="D63" s="22"/>
      <c r="E63" s="23"/>
      <c r="F63" s="36"/>
      <c r="G63" s="63"/>
      <c r="H63" s="21">
        <f t="shared" si="22"/>
        <v>19800000</v>
      </c>
      <c r="I63" s="22">
        <f>AGOSTO!I63+AGOSTO!J63</f>
        <v>9634200</v>
      </c>
      <c r="J63" s="43">
        <v>1182300</v>
      </c>
      <c r="K63" s="21">
        <f t="shared" si="12"/>
        <v>10816500</v>
      </c>
      <c r="L63" s="16">
        <f t="shared" si="1"/>
        <v>0.54628787878787877</v>
      </c>
      <c r="M63" s="25">
        <f t="shared" si="3"/>
        <v>10816500</v>
      </c>
      <c r="N63" s="26">
        <f t="shared" si="23"/>
        <v>8983500</v>
      </c>
      <c r="O63" s="18">
        <f t="shared" si="17"/>
        <v>0.45371212121212123</v>
      </c>
      <c r="Q63" s="37"/>
    </row>
    <row r="64" spans="1:17" ht="15" x14ac:dyDescent="0.25">
      <c r="A64" s="19" t="s">
        <v>107</v>
      </c>
      <c r="B64" s="33" t="s">
        <v>108</v>
      </c>
      <c r="C64" s="32">
        <v>3000000</v>
      </c>
      <c r="D64" s="22"/>
      <c r="E64" s="23"/>
      <c r="F64" s="36"/>
      <c r="G64" s="63"/>
      <c r="H64" s="21">
        <f t="shared" si="22"/>
        <v>3000000</v>
      </c>
      <c r="I64" s="22">
        <f>AGOSTO!I64+AGOSTO!J64</f>
        <v>1589600</v>
      </c>
      <c r="J64" s="43">
        <v>197500</v>
      </c>
      <c r="K64" s="21">
        <f t="shared" si="12"/>
        <v>1787100</v>
      </c>
      <c r="L64" s="16">
        <f t="shared" si="1"/>
        <v>0.59570000000000001</v>
      </c>
      <c r="M64" s="25">
        <f t="shared" si="3"/>
        <v>1787100</v>
      </c>
      <c r="N64" s="26">
        <f t="shared" si="23"/>
        <v>1212900</v>
      </c>
      <c r="O64" s="18">
        <f t="shared" si="17"/>
        <v>0.40429999999999999</v>
      </c>
      <c r="Q64" s="37"/>
    </row>
    <row r="65" spans="1:17" ht="15" x14ac:dyDescent="0.25">
      <c r="A65" s="19" t="s">
        <v>109</v>
      </c>
      <c r="B65" s="33" t="s">
        <v>110</v>
      </c>
      <c r="C65" s="32">
        <v>3000000</v>
      </c>
      <c r="D65" s="22"/>
      <c r="E65" s="23"/>
      <c r="F65" s="36"/>
      <c r="G65" s="63"/>
      <c r="H65" s="21">
        <f t="shared" si="22"/>
        <v>3000000</v>
      </c>
      <c r="I65" s="22">
        <f>AGOSTO!I65+AGOSTO!J65</f>
        <v>1609000</v>
      </c>
      <c r="J65" s="43">
        <v>197500</v>
      </c>
      <c r="K65" s="21">
        <f t="shared" si="12"/>
        <v>1806500</v>
      </c>
      <c r="L65" s="16">
        <f t="shared" si="1"/>
        <v>0.60216666666666663</v>
      </c>
      <c r="M65" s="25">
        <f t="shared" si="3"/>
        <v>1806500</v>
      </c>
      <c r="N65" s="26">
        <f t="shared" si="23"/>
        <v>1193500</v>
      </c>
      <c r="O65" s="18">
        <f t="shared" si="17"/>
        <v>0.39783333333333332</v>
      </c>
      <c r="Q65" s="37"/>
    </row>
    <row r="66" spans="1:17" ht="15" x14ac:dyDescent="0.25">
      <c r="A66" s="19" t="s">
        <v>111</v>
      </c>
      <c r="B66" s="33" t="s">
        <v>112</v>
      </c>
      <c r="C66" s="32">
        <v>6000000</v>
      </c>
      <c r="D66" s="22"/>
      <c r="E66" s="23"/>
      <c r="F66" s="36"/>
      <c r="G66" s="63"/>
      <c r="H66" s="21">
        <f t="shared" si="22"/>
        <v>6000000</v>
      </c>
      <c r="I66" s="22">
        <f>AGOSTO!I66+AGOSTO!J66</f>
        <v>3174800</v>
      </c>
      <c r="J66" s="43">
        <v>394500</v>
      </c>
      <c r="K66" s="21">
        <f t="shared" si="12"/>
        <v>3569300</v>
      </c>
      <c r="L66" s="16">
        <f t="shared" si="1"/>
        <v>0.59488333333333332</v>
      </c>
      <c r="M66" s="25">
        <f>J66+I66</f>
        <v>3569300</v>
      </c>
      <c r="N66" s="26">
        <f t="shared" si="23"/>
        <v>2430700</v>
      </c>
      <c r="O66" s="18">
        <f t="shared" si="17"/>
        <v>0.40511666666666668</v>
      </c>
      <c r="Q66" s="37"/>
    </row>
    <row r="67" spans="1:17" ht="15" x14ac:dyDescent="0.25">
      <c r="A67" s="19" t="s">
        <v>113</v>
      </c>
      <c r="B67" s="33" t="s">
        <v>114</v>
      </c>
      <c r="C67" s="32"/>
      <c r="D67" s="22"/>
      <c r="E67" s="23"/>
      <c r="F67" s="36"/>
      <c r="G67" s="63"/>
      <c r="H67" s="21">
        <f t="shared" si="22"/>
        <v>0</v>
      </c>
      <c r="I67" s="22">
        <f>AGOSTO!I67+AGOSTO!J67</f>
        <v>0</v>
      </c>
      <c r="J67" s="22">
        <v>0</v>
      </c>
      <c r="K67" s="21">
        <f t="shared" si="12"/>
        <v>0</v>
      </c>
      <c r="L67" s="16">
        <v>0</v>
      </c>
      <c r="M67" s="17">
        <f t="shared" si="3"/>
        <v>0</v>
      </c>
      <c r="N67" s="26">
        <f t="shared" si="23"/>
        <v>0</v>
      </c>
      <c r="O67" s="18">
        <v>0</v>
      </c>
      <c r="Q67" s="37"/>
    </row>
    <row r="68" spans="1:17" ht="27" customHeight="1" x14ac:dyDescent="0.2">
      <c r="A68" s="180">
        <v>20201203</v>
      </c>
      <c r="B68" s="66" t="s">
        <v>123</v>
      </c>
      <c r="C68" s="73">
        <f>C69</f>
        <v>0</v>
      </c>
      <c r="D68" s="74">
        <f t="shared" ref="D68:G68" si="24">D69</f>
        <v>0</v>
      </c>
      <c r="E68" s="74">
        <f>E69+E70</f>
        <v>50000000</v>
      </c>
      <c r="F68" s="68">
        <f t="shared" si="24"/>
        <v>0</v>
      </c>
      <c r="G68" s="74">
        <f t="shared" si="24"/>
        <v>0</v>
      </c>
      <c r="H68" s="68">
        <f>SUM(H69:H70)</f>
        <v>50000000</v>
      </c>
      <c r="I68" s="68">
        <f t="shared" ref="I68:L68" si="25">I69</f>
        <v>0</v>
      </c>
      <c r="J68" s="75">
        <f>SUM(J69:J70)</f>
        <v>30000000</v>
      </c>
      <c r="K68" s="75">
        <f>SUM(K69:K70)</f>
        <v>30000000</v>
      </c>
      <c r="L68" s="69">
        <f t="shared" si="25"/>
        <v>0</v>
      </c>
      <c r="M68" s="75">
        <f>SUM(M69:M70)</f>
        <v>30000000</v>
      </c>
      <c r="N68" s="75">
        <f>SUM(N69:N70)</f>
        <v>20000000</v>
      </c>
      <c r="O68" s="71">
        <f t="shared" si="17"/>
        <v>0.4</v>
      </c>
      <c r="Q68" s="37"/>
    </row>
    <row r="69" spans="1:17" ht="15" x14ac:dyDescent="0.25">
      <c r="A69" s="181">
        <v>2020130101</v>
      </c>
      <c r="B69" s="173" t="s">
        <v>124</v>
      </c>
      <c r="C69" s="174">
        <v>0</v>
      </c>
      <c r="D69" s="175">
        <v>0</v>
      </c>
      <c r="E69" s="176">
        <v>0</v>
      </c>
      <c r="F69" s="177"/>
      <c r="G69" s="178"/>
      <c r="H69" s="21">
        <f t="shared" si="22"/>
        <v>0</v>
      </c>
      <c r="I69" s="175">
        <v>0</v>
      </c>
      <c r="J69" s="175">
        <v>0</v>
      </c>
      <c r="K69" s="179">
        <v>0</v>
      </c>
      <c r="L69" s="16">
        <v>0</v>
      </c>
      <c r="M69" s="25">
        <f t="shared" si="3"/>
        <v>0</v>
      </c>
      <c r="N69" s="26">
        <f t="shared" si="23"/>
        <v>0</v>
      </c>
      <c r="O69" s="18">
        <v>0</v>
      </c>
      <c r="Q69" s="37"/>
    </row>
    <row r="70" spans="1:17" ht="15" x14ac:dyDescent="0.25">
      <c r="A70" s="181">
        <v>45</v>
      </c>
      <c r="B70" s="173" t="s">
        <v>124</v>
      </c>
      <c r="C70" s="174">
        <v>0</v>
      </c>
      <c r="D70" s="175">
        <v>0</v>
      </c>
      <c r="E70" s="176">
        <v>50000000</v>
      </c>
      <c r="F70" s="177">
        <v>0</v>
      </c>
      <c r="G70" s="178">
        <v>0</v>
      </c>
      <c r="H70" s="21">
        <f t="shared" si="22"/>
        <v>50000000</v>
      </c>
      <c r="I70" s="175">
        <v>0</v>
      </c>
      <c r="J70" s="175">
        <v>30000000</v>
      </c>
      <c r="K70" s="179">
        <f>I70+J70</f>
        <v>30000000</v>
      </c>
      <c r="L70" s="16">
        <f t="shared" si="1"/>
        <v>0.6</v>
      </c>
      <c r="M70" s="25">
        <f t="shared" si="3"/>
        <v>30000000</v>
      </c>
      <c r="N70" s="26">
        <f t="shared" si="23"/>
        <v>20000000</v>
      </c>
      <c r="O70" s="18">
        <f t="shared" si="17"/>
        <v>0.4</v>
      </c>
      <c r="Q70" s="37"/>
    </row>
    <row r="71" spans="1:17" s="80" customFormat="1" ht="31.5" customHeight="1" thickBot="1" x14ac:dyDescent="0.25">
      <c r="A71" s="81"/>
      <c r="B71" s="166" t="s">
        <v>115</v>
      </c>
      <c r="C71" s="171">
        <f>C57+C52+C32+C19+C24+C8</f>
        <v>1030155044</v>
      </c>
      <c r="D71" s="167">
        <f t="shared" ref="D71:J71" si="26">D8+D19+D24+D32+D52+D57+D68</f>
        <v>46000000</v>
      </c>
      <c r="E71" s="167">
        <f t="shared" si="26"/>
        <v>131431604</v>
      </c>
      <c r="F71" s="167">
        <f t="shared" si="26"/>
        <v>62384952</v>
      </c>
      <c r="G71" s="167">
        <f t="shared" si="26"/>
        <v>62384952</v>
      </c>
      <c r="H71" s="167">
        <f t="shared" si="26"/>
        <v>1161586648</v>
      </c>
      <c r="I71" s="167">
        <f t="shared" si="26"/>
        <v>701689355.97776079</v>
      </c>
      <c r="J71" s="167">
        <f t="shared" si="26"/>
        <v>90535813</v>
      </c>
      <c r="K71" s="167">
        <f>K57+K52+K32+K24+K19+K8+K68</f>
        <v>792225168.97776079</v>
      </c>
      <c r="L71" s="168">
        <f t="shared" si="1"/>
        <v>0.68201986510588819</v>
      </c>
      <c r="M71" s="167">
        <f>M8+M19+M24+M32+M52+M57+M68</f>
        <v>792225168.97776079</v>
      </c>
      <c r="N71" s="167">
        <f>N8+N19+N24+N32+N52+N57+N68</f>
        <v>323069972.02223915</v>
      </c>
      <c r="O71" s="170">
        <f t="shared" si="17"/>
        <v>0.27812817285606328</v>
      </c>
    </row>
    <row r="72" spans="1:17" ht="35.25" customHeight="1" thickBot="1" x14ac:dyDescent="0.3">
      <c r="A72" s="165" t="s">
        <v>118</v>
      </c>
      <c r="B72" s="192" t="s">
        <v>119</v>
      </c>
      <c r="C72" s="193"/>
      <c r="D72" s="193"/>
      <c r="E72" s="193"/>
      <c r="F72" s="193"/>
      <c r="G72" s="193"/>
      <c r="H72" s="193"/>
      <c r="I72" s="193"/>
      <c r="J72" s="193"/>
      <c r="K72" s="193"/>
      <c r="L72" s="193"/>
      <c r="M72" s="193"/>
      <c r="N72" s="193"/>
      <c r="O72" s="194"/>
      <c r="Q72" s="40"/>
    </row>
    <row r="73" spans="1:17" x14ac:dyDescent="0.2">
      <c r="K73" s="40"/>
    </row>
    <row r="74" spans="1:17" x14ac:dyDescent="0.2">
      <c r="D74" s="40"/>
      <c r="F74" s="40"/>
      <c r="G74" s="40"/>
      <c r="K74" s="40"/>
      <c r="N74" s="40"/>
    </row>
    <row r="75" spans="1:17" x14ac:dyDescent="0.2">
      <c r="G75" s="40"/>
      <c r="I75" s="40"/>
      <c r="J75" s="42"/>
      <c r="N75" s="40"/>
    </row>
    <row r="76" spans="1:17" x14ac:dyDescent="0.2">
      <c r="D76" s="40"/>
      <c r="J76" s="40"/>
      <c r="L76" s="40"/>
      <c r="N76" s="40"/>
    </row>
    <row r="77" spans="1:17" x14ac:dyDescent="0.2">
      <c r="H77" s="40"/>
      <c r="J77" s="40"/>
      <c r="N77" s="40"/>
    </row>
    <row r="78" spans="1:17" x14ac:dyDescent="0.2">
      <c r="J78" s="40"/>
    </row>
  </sheetData>
  <mergeCells count="6">
    <mergeCell ref="A1:O1"/>
    <mergeCell ref="A2:O2"/>
    <mergeCell ref="A3:O3"/>
    <mergeCell ref="L5:L6"/>
    <mergeCell ref="B72:O72"/>
    <mergeCell ref="D5:D6"/>
  </mergeCells>
  <printOptions horizontalCentered="1" verticalCentered="1"/>
  <pageMargins left="0.23622047244094491" right="0.23622047244094491" top="0.39370078740157483" bottom="0.98425196850393704" header="0" footer="0"/>
  <pageSetup paperSize="14" scale="42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8"/>
  <sheetViews>
    <sheetView showGridLines="0" zoomScale="90" zoomScaleNormal="90" zoomScaleSheetLayoutView="8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J44" sqref="J44"/>
    </sheetView>
  </sheetViews>
  <sheetFormatPr baseColWidth="10" defaultRowHeight="14.25" x14ac:dyDescent="0.2"/>
  <cols>
    <col min="1" max="1" width="16" style="1" customWidth="1"/>
    <col min="2" max="2" width="49.625" style="1" customWidth="1"/>
    <col min="3" max="3" width="21.625" style="1" customWidth="1"/>
    <col min="4" max="7" width="14.625" style="1" customWidth="1"/>
    <col min="8" max="8" width="17.875" style="1" bestFit="1" customWidth="1"/>
    <col min="9" max="9" width="20.625" style="1" bestFit="1" customWidth="1"/>
    <col min="10" max="10" width="15" style="1" bestFit="1" customWidth="1"/>
    <col min="11" max="11" width="16" style="1" hidden="1" customWidth="1"/>
    <col min="12" max="12" width="6" style="1" bestFit="1" customWidth="1"/>
    <col min="13" max="13" width="17.375" style="41" customWidth="1"/>
    <col min="14" max="14" width="16.25" style="1" bestFit="1" customWidth="1"/>
    <col min="15" max="15" width="8.5" style="1" customWidth="1"/>
    <col min="16" max="16" width="11" style="1"/>
    <col min="17" max="17" width="10.125" style="1" bestFit="1" customWidth="1"/>
    <col min="18" max="256" width="11" style="1"/>
    <col min="257" max="257" width="16" style="1" customWidth="1"/>
    <col min="258" max="258" width="49.625" style="1" customWidth="1"/>
    <col min="259" max="259" width="15.25" style="1" customWidth="1"/>
    <col min="260" max="266" width="14.625" style="1" customWidth="1"/>
    <col min="267" max="267" width="0" style="1" hidden="1" customWidth="1"/>
    <col min="268" max="268" width="7.875" style="1" customWidth="1"/>
    <col min="269" max="269" width="17.375" style="1" customWidth="1"/>
    <col min="270" max="270" width="14.625" style="1" customWidth="1"/>
    <col min="271" max="271" width="8.5" style="1" customWidth="1"/>
    <col min="272" max="272" width="11" style="1"/>
    <col min="273" max="273" width="10.125" style="1" bestFit="1" customWidth="1"/>
    <col min="274" max="512" width="11" style="1"/>
    <col min="513" max="513" width="16" style="1" customWidth="1"/>
    <col min="514" max="514" width="49.625" style="1" customWidth="1"/>
    <col min="515" max="515" width="15.25" style="1" customWidth="1"/>
    <col min="516" max="522" width="14.625" style="1" customWidth="1"/>
    <col min="523" max="523" width="0" style="1" hidden="1" customWidth="1"/>
    <col min="524" max="524" width="7.875" style="1" customWidth="1"/>
    <col min="525" max="525" width="17.375" style="1" customWidth="1"/>
    <col min="526" max="526" width="14.625" style="1" customWidth="1"/>
    <col min="527" max="527" width="8.5" style="1" customWidth="1"/>
    <col min="528" max="528" width="11" style="1"/>
    <col min="529" max="529" width="10.125" style="1" bestFit="1" customWidth="1"/>
    <col min="530" max="768" width="11" style="1"/>
    <col min="769" max="769" width="16" style="1" customWidth="1"/>
    <col min="770" max="770" width="49.625" style="1" customWidth="1"/>
    <col min="771" max="771" width="15.25" style="1" customWidth="1"/>
    <col min="772" max="778" width="14.625" style="1" customWidth="1"/>
    <col min="779" max="779" width="0" style="1" hidden="1" customWidth="1"/>
    <col min="780" max="780" width="7.875" style="1" customWidth="1"/>
    <col min="781" max="781" width="17.375" style="1" customWidth="1"/>
    <col min="782" max="782" width="14.625" style="1" customWidth="1"/>
    <col min="783" max="783" width="8.5" style="1" customWidth="1"/>
    <col min="784" max="784" width="11" style="1"/>
    <col min="785" max="785" width="10.125" style="1" bestFit="1" customWidth="1"/>
    <col min="786" max="1024" width="11" style="1"/>
    <col min="1025" max="1025" width="16" style="1" customWidth="1"/>
    <col min="1026" max="1026" width="49.625" style="1" customWidth="1"/>
    <col min="1027" max="1027" width="15.25" style="1" customWidth="1"/>
    <col min="1028" max="1034" width="14.625" style="1" customWidth="1"/>
    <col min="1035" max="1035" width="0" style="1" hidden="1" customWidth="1"/>
    <col min="1036" max="1036" width="7.875" style="1" customWidth="1"/>
    <col min="1037" max="1037" width="17.375" style="1" customWidth="1"/>
    <col min="1038" max="1038" width="14.625" style="1" customWidth="1"/>
    <col min="1039" max="1039" width="8.5" style="1" customWidth="1"/>
    <col min="1040" max="1040" width="11" style="1"/>
    <col min="1041" max="1041" width="10.125" style="1" bestFit="1" customWidth="1"/>
    <col min="1042" max="1280" width="11" style="1"/>
    <col min="1281" max="1281" width="16" style="1" customWidth="1"/>
    <col min="1282" max="1282" width="49.625" style="1" customWidth="1"/>
    <col min="1283" max="1283" width="15.25" style="1" customWidth="1"/>
    <col min="1284" max="1290" width="14.625" style="1" customWidth="1"/>
    <col min="1291" max="1291" width="0" style="1" hidden="1" customWidth="1"/>
    <col min="1292" max="1292" width="7.875" style="1" customWidth="1"/>
    <col min="1293" max="1293" width="17.375" style="1" customWidth="1"/>
    <col min="1294" max="1294" width="14.625" style="1" customWidth="1"/>
    <col min="1295" max="1295" width="8.5" style="1" customWidth="1"/>
    <col min="1296" max="1296" width="11" style="1"/>
    <col min="1297" max="1297" width="10.125" style="1" bestFit="1" customWidth="1"/>
    <col min="1298" max="1536" width="11" style="1"/>
    <col min="1537" max="1537" width="16" style="1" customWidth="1"/>
    <col min="1538" max="1538" width="49.625" style="1" customWidth="1"/>
    <col min="1539" max="1539" width="15.25" style="1" customWidth="1"/>
    <col min="1540" max="1546" width="14.625" style="1" customWidth="1"/>
    <col min="1547" max="1547" width="0" style="1" hidden="1" customWidth="1"/>
    <col min="1548" max="1548" width="7.875" style="1" customWidth="1"/>
    <col min="1549" max="1549" width="17.375" style="1" customWidth="1"/>
    <col min="1550" max="1550" width="14.625" style="1" customWidth="1"/>
    <col min="1551" max="1551" width="8.5" style="1" customWidth="1"/>
    <col min="1552" max="1552" width="11" style="1"/>
    <col min="1553" max="1553" width="10.125" style="1" bestFit="1" customWidth="1"/>
    <col min="1554" max="1792" width="11" style="1"/>
    <col min="1793" max="1793" width="16" style="1" customWidth="1"/>
    <col min="1794" max="1794" width="49.625" style="1" customWidth="1"/>
    <col min="1795" max="1795" width="15.25" style="1" customWidth="1"/>
    <col min="1796" max="1802" width="14.625" style="1" customWidth="1"/>
    <col min="1803" max="1803" width="0" style="1" hidden="1" customWidth="1"/>
    <col min="1804" max="1804" width="7.875" style="1" customWidth="1"/>
    <col min="1805" max="1805" width="17.375" style="1" customWidth="1"/>
    <col min="1806" max="1806" width="14.625" style="1" customWidth="1"/>
    <col min="1807" max="1807" width="8.5" style="1" customWidth="1"/>
    <col min="1808" max="1808" width="11" style="1"/>
    <col min="1809" max="1809" width="10.125" style="1" bestFit="1" customWidth="1"/>
    <col min="1810" max="2048" width="11" style="1"/>
    <col min="2049" max="2049" width="16" style="1" customWidth="1"/>
    <col min="2050" max="2050" width="49.625" style="1" customWidth="1"/>
    <col min="2051" max="2051" width="15.25" style="1" customWidth="1"/>
    <col min="2052" max="2058" width="14.625" style="1" customWidth="1"/>
    <col min="2059" max="2059" width="0" style="1" hidden="1" customWidth="1"/>
    <col min="2060" max="2060" width="7.875" style="1" customWidth="1"/>
    <col min="2061" max="2061" width="17.375" style="1" customWidth="1"/>
    <col min="2062" max="2062" width="14.625" style="1" customWidth="1"/>
    <col min="2063" max="2063" width="8.5" style="1" customWidth="1"/>
    <col min="2064" max="2064" width="11" style="1"/>
    <col min="2065" max="2065" width="10.125" style="1" bestFit="1" customWidth="1"/>
    <col min="2066" max="2304" width="11" style="1"/>
    <col min="2305" max="2305" width="16" style="1" customWidth="1"/>
    <col min="2306" max="2306" width="49.625" style="1" customWidth="1"/>
    <col min="2307" max="2307" width="15.25" style="1" customWidth="1"/>
    <col min="2308" max="2314" width="14.625" style="1" customWidth="1"/>
    <col min="2315" max="2315" width="0" style="1" hidden="1" customWidth="1"/>
    <col min="2316" max="2316" width="7.875" style="1" customWidth="1"/>
    <col min="2317" max="2317" width="17.375" style="1" customWidth="1"/>
    <col min="2318" max="2318" width="14.625" style="1" customWidth="1"/>
    <col min="2319" max="2319" width="8.5" style="1" customWidth="1"/>
    <col min="2320" max="2320" width="11" style="1"/>
    <col min="2321" max="2321" width="10.125" style="1" bestFit="1" customWidth="1"/>
    <col min="2322" max="2560" width="11" style="1"/>
    <col min="2561" max="2561" width="16" style="1" customWidth="1"/>
    <col min="2562" max="2562" width="49.625" style="1" customWidth="1"/>
    <col min="2563" max="2563" width="15.25" style="1" customWidth="1"/>
    <col min="2564" max="2570" width="14.625" style="1" customWidth="1"/>
    <col min="2571" max="2571" width="0" style="1" hidden="1" customWidth="1"/>
    <col min="2572" max="2572" width="7.875" style="1" customWidth="1"/>
    <col min="2573" max="2573" width="17.375" style="1" customWidth="1"/>
    <col min="2574" max="2574" width="14.625" style="1" customWidth="1"/>
    <col min="2575" max="2575" width="8.5" style="1" customWidth="1"/>
    <col min="2576" max="2576" width="11" style="1"/>
    <col min="2577" max="2577" width="10.125" style="1" bestFit="1" customWidth="1"/>
    <col min="2578" max="2816" width="11" style="1"/>
    <col min="2817" max="2817" width="16" style="1" customWidth="1"/>
    <col min="2818" max="2818" width="49.625" style="1" customWidth="1"/>
    <col min="2819" max="2819" width="15.25" style="1" customWidth="1"/>
    <col min="2820" max="2826" width="14.625" style="1" customWidth="1"/>
    <col min="2827" max="2827" width="0" style="1" hidden="1" customWidth="1"/>
    <col min="2828" max="2828" width="7.875" style="1" customWidth="1"/>
    <col min="2829" max="2829" width="17.375" style="1" customWidth="1"/>
    <col min="2830" max="2830" width="14.625" style="1" customWidth="1"/>
    <col min="2831" max="2831" width="8.5" style="1" customWidth="1"/>
    <col min="2832" max="2832" width="11" style="1"/>
    <col min="2833" max="2833" width="10.125" style="1" bestFit="1" customWidth="1"/>
    <col min="2834" max="3072" width="11" style="1"/>
    <col min="3073" max="3073" width="16" style="1" customWidth="1"/>
    <col min="3074" max="3074" width="49.625" style="1" customWidth="1"/>
    <col min="3075" max="3075" width="15.25" style="1" customWidth="1"/>
    <col min="3076" max="3082" width="14.625" style="1" customWidth="1"/>
    <col min="3083" max="3083" width="0" style="1" hidden="1" customWidth="1"/>
    <col min="3084" max="3084" width="7.875" style="1" customWidth="1"/>
    <col min="3085" max="3085" width="17.375" style="1" customWidth="1"/>
    <col min="3086" max="3086" width="14.625" style="1" customWidth="1"/>
    <col min="3087" max="3087" width="8.5" style="1" customWidth="1"/>
    <col min="3088" max="3088" width="11" style="1"/>
    <col min="3089" max="3089" width="10.125" style="1" bestFit="1" customWidth="1"/>
    <col min="3090" max="3328" width="11" style="1"/>
    <col min="3329" max="3329" width="16" style="1" customWidth="1"/>
    <col min="3330" max="3330" width="49.625" style="1" customWidth="1"/>
    <col min="3331" max="3331" width="15.25" style="1" customWidth="1"/>
    <col min="3332" max="3338" width="14.625" style="1" customWidth="1"/>
    <col min="3339" max="3339" width="0" style="1" hidden="1" customWidth="1"/>
    <col min="3340" max="3340" width="7.875" style="1" customWidth="1"/>
    <col min="3341" max="3341" width="17.375" style="1" customWidth="1"/>
    <col min="3342" max="3342" width="14.625" style="1" customWidth="1"/>
    <col min="3343" max="3343" width="8.5" style="1" customWidth="1"/>
    <col min="3344" max="3344" width="11" style="1"/>
    <col min="3345" max="3345" width="10.125" style="1" bestFit="1" customWidth="1"/>
    <col min="3346" max="3584" width="11" style="1"/>
    <col min="3585" max="3585" width="16" style="1" customWidth="1"/>
    <col min="3586" max="3586" width="49.625" style="1" customWidth="1"/>
    <col min="3587" max="3587" width="15.25" style="1" customWidth="1"/>
    <col min="3588" max="3594" width="14.625" style="1" customWidth="1"/>
    <col min="3595" max="3595" width="0" style="1" hidden="1" customWidth="1"/>
    <col min="3596" max="3596" width="7.875" style="1" customWidth="1"/>
    <col min="3597" max="3597" width="17.375" style="1" customWidth="1"/>
    <col min="3598" max="3598" width="14.625" style="1" customWidth="1"/>
    <col min="3599" max="3599" width="8.5" style="1" customWidth="1"/>
    <col min="3600" max="3600" width="11" style="1"/>
    <col min="3601" max="3601" width="10.125" style="1" bestFit="1" customWidth="1"/>
    <col min="3602" max="3840" width="11" style="1"/>
    <col min="3841" max="3841" width="16" style="1" customWidth="1"/>
    <col min="3842" max="3842" width="49.625" style="1" customWidth="1"/>
    <col min="3843" max="3843" width="15.25" style="1" customWidth="1"/>
    <col min="3844" max="3850" width="14.625" style="1" customWidth="1"/>
    <col min="3851" max="3851" width="0" style="1" hidden="1" customWidth="1"/>
    <col min="3852" max="3852" width="7.875" style="1" customWidth="1"/>
    <col min="3853" max="3853" width="17.375" style="1" customWidth="1"/>
    <col min="3854" max="3854" width="14.625" style="1" customWidth="1"/>
    <col min="3855" max="3855" width="8.5" style="1" customWidth="1"/>
    <col min="3856" max="3856" width="11" style="1"/>
    <col min="3857" max="3857" width="10.125" style="1" bestFit="1" customWidth="1"/>
    <col min="3858" max="4096" width="11" style="1"/>
    <col min="4097" max="4097" width="16" style="1" customWidth="1"/>
    <col min="4098" max="4098" width="49.625" style="1" customWidth="1"/>
    <col min="4099" max="4099" width="15.25" style="1" customWidth="1"/>
    <col min="4100" max="4106" width="14.625" style="1" customWidth="1"/>
    <col min="4107" max="4107" width="0" style="1" hidden="1" customWidth="1"/>
    <col min="4108" max="4108" width="7.875" style="1" customWidth="1"/>
    <col min="4109" max="4109" width="17.375" style="1" customWidth="1"/>
    <col min="4110" max="4110" width="14.625" style="1" customWidth="1"/>
    <col min="4111" max="4111" width="8.5" style="1" customWidth="1"/>
    <col min="4112" max="4112" width="11" style="1"/>
    <col min="4113" max="4113" width="10.125" style="1" bestFit="1" customWidth="1"/>
    <col min="4114" max="4352" width="11" style="1"/>
    <col min="4353" max="4353" width="16" style="1" customWidth="1"/>
    <col min="4354" max="4354" width="49.625" style="1" customWidth="1"/>
    <col min="4355" max="4355" width="15.25" style="1" customWidth="1"/>
    <col min="4356" max="4362" width="14.625" style="1" customWidth="1"/>
    <col min="4363" max="4363" width="0" style="1" hidden="1" customWidth="1"/>
    <col min="4364" max="4364" width="7.875" style="1" customWidth="1"/>
    <col min="4365" max="4365" width="17.375" style="1" customWidth="1"/>
    <col min="4366" max="4366" width="14.625" style="1" customWidth="1"/>
    <col min="4367" max="4367" width="8.5" style="1" customWidth="1"/>
    <col min="4368" max="4368" width="11" style="1"/>
    <col min="4369" max="4369" width="10.125" style="1" bestFit="1" customWidth="1"/>
    <col min="4370" max="4608" width="11" style="1"/>
    <col min="4609" max="4609" width="16" style="1" customWidth="1"/>
    <col min="4610" max="4610" width="49.625" style="1" customWidth="1"/>
    <col min="4611" max="4611" width="15.25" style="1" customWidth="1"/>
    <col min="4612" max="4618" width="14.625" style="1" customWidth="1"/>
    <col min="4619" max="4619" width="0" style="1" hidden="1" customWidth="1"/>
    <col min="4620" max="4620" width="7.875" style="1" customWidth="1"/>
    <col min="4621" max="4621" width="17.375" style="1" customWidth="1"/>
    <col min="4622" max="4622" width="14.625" style="1" customWidth="1"/>
    <col min="4623" max="4623" width="8.5" style="1" customWidth="1"/>
    <col min="4624" max="4624" width="11" style="1"/>
    <col min="4625" max="4625" width="10.125" style="1" bestFit="1" customWidth="1"/>
    <col min="4626" max="4864" width="11" style="1"/>
    <col min="4865" max="4865" width="16" style="1" customWidth="1"/>
    <col min="4866" max="4866" width="49.625" style="1" customWidth="1"/>
    <col min="4867" max="4867" width="15.25" style="1" customWidth="1"/>
    <col min="4868" max="4874" width="14.625" style="1" customWidth="1"/>
    <col min="4875" max="4875" width="0" style="1" hidden="1" customWidth="1"/>
    <col min="4876" max="4876" width="7.875" style="1" customWidth="1"/>
    <col min="4877" max="4877" width="17.375" style="1" customWidth="1"/>
    <col min="4878" max="4878" width="14.625" style="1" customWidth="1"/>
    <col min="4879" max="4879" width="8.5" style="1" customWidth="1"/>
    <col min="4880" max="4880" width="11" style="1"/>
    <col min="4881" max="4881" width="10.125" style="1" bestFit="1" customWidth="1"/>
    <col min="4882" max="5120" width="11" style="1"/>
    <col min="5121" max="5121" width="16" style="1" customWidth="1"/>
    <col min="5122" max="5122" width="49.625" style="1" customWidth="1"/>
    <col min="5123" max="5123" width="15.25" style="1" customWidth="1"/>
    <col min="5124" max="5130" width="14.625" style="1" customWidth="1"/>
    <col min="5131" max="5131" width="0" style="1" hidden="1" customWidth="1"/>
    <col min="5132" max="5132" width="7.875" style="1" customWidth="1"/>
    <col min="5133" max="5133" width="17.375" style="1" customWidth="1"/>
    <col min="5134" max="5134" width="14.625" style="1" customWidth="1"/>
    <col min="5135" max="5135" width="8.5" style="1" customWidth="1"/>
    <col min="5136" max="5136" width="11" style="1"/>
    <col min="5137" max="5137" width="10.125" style="1" bestFit="1" customWidth="1"/>
    <col min="5138" max="5376" width="11" style="1"/>
    <col min="5377" max="5377" width="16" style="1" customWidth="1"/>
    <col min="5378" max="5378" width="49.625" style="1" customWidth="1"/>
    <col min="5379" max="5379" width="15.25" style="1" customWidth="1"/>
    <col min="5380" max="5386" width="14.625" style="1" customWidth="1"/>
    <col min="5387" max="5387" width="0" style="1" hidden="1" customWidth="1"/>
    <col min="5388" max="5388" width="7.875" style="1" customWidth="1"/>
    <col min="5389" max="5389" width="17.375" style="1" customWidth="1"/>
    <col min="5390" max="5390" width="14.625" style="1" customWidth="1"/>
    <col min="5391" max="5391" width="8.5" style="1" customWidth="1"/>
    <col min="5392" max="5392" width="11" style="1"/>
    <col min="5393" max="5393" width="10.125" style="1" bestFit="1" customWidth="1"/>
    <col min="5394" max="5632" width="11" style="1"/>
    <col min="5633" max="5633" width="16" style="1" customWidth="1"/>
    <col min="5634" max="5634" width="49.625" style="1" customWidth="1"/>
    <col min="5635" max="5635" width="15.25" style="1" customWidth="1"/>
    <col min="5636" max="5642" width="14.625" style="1" customWidth="1"/>
    <col min="5643" max="5643" width="0" style="1" hidden="1" customWidth="1"/>
    <col min="5644" max="5644" width="7.875" style="1" customWidth="1"/>
    <col min="5645" max="5645" width="17.375" style="1" customWidth="1"/>
    <col min="5646" max="5646" width="14.625" style="1" customWidth="1"/>
    <col min="5647" max="5647" width="8.5" style="1" customWidth="1"/>
    <col min="5648" max="5648" width="11" style="1"/>
    <col min="5649" max="5649" width="10.125" style="1" bestFit="1" customWidth="1"/>
    <col min="5650" max="5888" width="11" style="1"/>
    <col min="5889" max="5889" width="16" style="1" customWidth="1"/>
    <col min="5890" max="5890" width="49.625" style="1" customWidth="1"/>
    <col min="5891" max="5891" width="15.25" style="1" customWidth="1"/>
    <col min="5892" max="5898" width="14.625" style="1" customWidth="1"/>
    <col min="5899" max="5899" width="0" style="1" hidden="1" customWidth="1"/>
    <col min="5900" max="5900" width="7.875" style="1" customWidth="1"/>
    <col min="5901" max="5901" width="17.375" style="1" customWidth="1"/>
    <col min="5902" max="5902" width="14.625" style="1" customWidth="1"/>
    <col min="5903" max="5903" width="8.5" style="1" customWidth="1"/>
    <col min="5904" max="5904" width="11" style="1"/>
    <col min="5905" max="5905" width="10.125" style="1" bestFit="1" customWidth="1"/>
    <col min="5906" max="6144" width="11" style="1"/>
    <col min="6145" max="6145" width="16" style="1" customWidth="1"/>
    <col min="6146" max="6146" width="49.625" style="1" customWidth="1"/>
    <col min="6147" max="6147" width="15.25" style="1" customWidth="1"/>
    <col min="6148" max="6154" width="14.625" style="1" customWidth="1"/>
    <col min="6155" max="6155" width="0" style="1" hidden="1" customWidth="1"/>
    <col min="6156" max="6156" width="7.875" style="1" customWidth="1"/>
    <col min="6157" max="6157" width="17.375" style="1" customWidth="1"/>
    <col min="6158" max="6158" width="14.625" style="1" customWidth="1"/>
    <col min="6159" max="6159" width="8.5" style="1" customWidth="1"/>
    <col min="6160" max="6160" width="11" style="1"/>
    <col min="6161" max="6161" width="10.125" style="1" bestFit="1" customWidth="1"/>
    <col min="6162" max="6400" width="11" style="1"/>
    <col min="6401" max="6401" width="16" style="1" customWidth="1"/>
    <col min="6402" max="6402" width="49.625" style="1" customWidth="1"/>
    <col min="6403" max="6403" width="15.25" style="1" customWidth="1"/>
    <col min="6404" max="6410" width="14.625" style="1" customWidth="1"/>
    <col min="6411" max="6411" width="0" style="1" hidden="1" customWidth="1"/>
    <col min="6412" max="6412" width="7.875" style="1" customWidth="1"/>
    <col min="6413" max="6413" width="17.375" style="1" customWidth="1"/>
    <col min="6414" max="6414" width="14.625" style="1" customWidth="1"/>
    <col min="6415" max="6415" width="8.5" style="1" customWidth="1"/>
    <col min="6416" max="6416" width="11" style="1"/>
    <col min="6417" max="6417" width="10.125" style="1" bestFit="1" customWidth="1"/>
    <col min="6418" max="6656" width="11" style="1"/>
    <col min="6657" max="6657" width="16" style="1" customWidth="1"/>
    <col min="6658" max="6658" width="49.625" style="1" customWidth="1"/>
    <col min="6659" max="6659" width="15.25" style="1" customWidth="1"/>
    <col min="6660" max="6666" width="14.625" style="1" customWidth="1"/>
    <col min="6667" max="6667" width="0" style="1" hidden="1" customWidth="1"/>
    <col min="6668" max="6668" width="7.875" style="1" customWidth="1"/>
    <col min="6669" max="6669" width="17.375" style="1" customWidth="1"/>
    <col min="6670" max="6670" width="14.625" style="1" customWidth="1"/>
    <col min="6671" max="6671" width="8.5" style="1" customWidth="1"/>
    <col min="6672" max="6672" width="11" style="1"/>
    <col min="6673" max="6673" width="10.125" style="1" bestFit="1" customWidth="1"/>
    <col min="6674" max="6912" width="11" style="1"/>
    <col min="6913" max="6913" width="16" style="1" customWidth="1"/>
    <col min="6914" max="6914" width="49.625" style="1" customWidth="1"/>
    <col min="6915" max="6915" width="15.25" style="1" customWidth="1"/>
    <col min="6916" max="6922" width="14.625" style="1" customWidth="1"/>
    <col min="6923" max="6923" width="0" style="1" hidden="1" customWidth="1"/>
    <col min="6924" max="6924" width="7.875" style="1" customWidth="1"/>
    <col min="6925" max="6925" width="17.375" style="1" customWidth="1"/>
    <col min="6926" max="6926" width="14.625" style="1" customWidth="1"/>
    <col min="6927" max="6927" width="8.5" style="1" customWidth="1"/>
    <col min="6928" max="6928" width="11" style="1"/>
    <col min="6929" max="6929" width="10.125" style="1" bestFit="1" customWidth="1"/>
    <col min="6930" max="7168" width="11" style="1"/>
    <col min="7169" max="7169" width="16" style="1" customWidth="1"/>
    <col min="7170" max="7170" width="49.625" style="1" customWidth="1"/>
    <col min="7171" max="7171" width="15.25" style="1" customWidth="1"/>
    <col min="7172" max="7178" width="14.625" style="1" customWidth="1"/>
    <col min="7179" max="7179" width="0" style="1" hidden="1" customWidth="1"/>
    <col min="7180" max="7180" width="7.875" style="1" customWidth="1"/>
    <col min="7181" max="7181" width="17.375" style="1" customWidth="1"/>
    <col min="7182" max="7182" width="14.625" style="1" customWidth="1"/>
    <col min="7183" max="7183" width="8.5" style="1" customWidth="1"/>
    <col min="7184" max="7184" width="11" style="1"/>
    <col min="7185" max="7185" width="10.125" style="1" bestFit="1" customWidth="1"/>
    <col min="7186" max="7424" width="11" style="1"/>
    <col min="7425" max="7425" width="16" style="1" customWidth="1"/>
    <col min="7426" max="7426" width="49.625" style="1" customWidth="1"/>
    <col min="7427" max="7427" width="15.25" style="1" customWidth="1"/>
    <col min="7428" max="7434" width="14.625" style="1" customWidth="1"/>
    <col min="7435" max="7435" width="0" style="1" hidden="1" customWidth="1"/>
    <col min="7436" max="7436" width="7.875" style="1" customWidth="1"/>
    <col min="7437" max="7437" width="17.375" style="1" customWidth="1"/>
    <col min="7438" max="7438" width="14.625" style="1" customWidth="1"/>
    <col min="7439" max="7439" width="8.5" style="1" customWidth="1"/>
    <col min="7440" max="7440" width="11" style="1"/>
    <col min="7441" max="7441" width="10.125" style="1" bestFit="1" customWidth="1"/>
    <col min="7442" max="7680" width="11" style="1"/>
    <col min="7681" max="7681" width="16" style="1" customWidth="1"/>
    <col min="7682" max="7682" width="49.625" style="1" customWidth="1"/>
    <col min="7683" max="7683" width="15.25" style="1" customWidth="1"/>
    <col min="7684" max="7690" width="14.625" style="1" customWidth="1"/>
    <col min="7691" max="7691" width="0" style="1" hidden="1" customWidth="1"/>
    <col min="7692" max="7692" width="7.875" style="1" customWidth="1"/>
    <col min="7693" max="7693" width="17.375" style="1" customWidth="1"/>
    <col min="7694" max="7694" width="14.625" style="1" customWidth="1"/>
    <col min="7695" max="7695" width="8.5" style="1" customWidth="1"/>
    <col min="7696" max="7696" width="11" style="1"/>
    <col min="7697" max="7697" width="10.125" style="1" bestFit="1" customWidth="1"/>
    <col min="7698" max="7936" width="11" style="1"/>
    <col min="7937" max="7937" width="16" style="1" customWidth="1"/>
    <col min="7938" max="7938" width="49.625" style="1" customWidth="1"/>
    <col min="7939" max="7939" width="15.25" style="1" customWidth="1"/>
    <col min="7940" max="7946" width="14.625" style="1" customWidth="1"/>
    <col min="7947" max="7947" width="0" style="1" hidden="1" customWidth="1"/>
    <col min="7948" max="7948" width="7.875" style="1" customWidth="1"/>
    <col min="7949" max="7949" width="17.375" style="1" customWidth="1"/>
    <col min="7950" max="7950" width="14.625" style="1" customWidth="1"/>
    <col min="7951" max="7951" width="8.5" style="1" customWidth="1"/>
    <col min="7952" max="7952" width="11" style="1"/>
    <col min="7953" max="7953" width="10.125" style="1" bestFit="1" customWidth="1"/>
    <col min="7954" max="8192" width="11" style="1"/>
    <col min="8193" max="8193" width="16" style="1" customWidth="1"/>
    <col min="8194" max="8194" width="49.625" style="1" customWidth="1"/>
    <col min="8195" max="8195" width="15.25" style="1" customWidth="1"/>
    <col min="8196" max="8202" width="14.625" style="1" customWidth="1"/>
    <col min="8203" max="8203" width="0" style="1" hidden="1" customWidth="1"/>
    <col min="8204" max="8204" width="7.875" style="1" customWidth="1"/>
    <col min="8205" max="8205" width="17.375" style="1" customWidth="1"/>
    <col min="8206" max="8206" width="14.625" style="1" customWidth="1"/>
    <col min="8207" max="8207" width="8.5" style="1" customWidth="1"/>
    <col min="8208" max="8208" width="11" style="1"/>
    <col min="8209" max="8209" width="10.125" style="1" bestFit="1" customWidth="1"/>
    <col min="8210" max="8448" width="11" style="1"/>
    <col min="8449" max="8449" width="16" style="1" customWidth="1"/>
    <col min="8450" max="8450" width="49.625" style="1" customWidth="1"/>
    <col min="8451" max="8451" width="15.25" style="1" customWidth="1"/>
    <col min="8452" max="8458" width="14.625" style="1" customWidth="1"/>
    <col min="8459" max="8459" width="0" style="1" hidden="1" customWidth="1"/>
    <col min="8460" max="8460" width="7.875" style="1" customWidth="1"/>
    <col min="8461" max="8461" width="17.375" style="1" customWidth="1"/>
    <col min="8462" max="8462" width="14.625" style="1" customWidth="1"/>
    <col min="8463" max="8463" width="8.5" style="1" customWidth="1"/>
    <col min="8464" max="8464" width="11" style="1"/>
    <col min="8465" max="8465" width="10.125" style="1" bestFit="1" customWidth="1"/>
    <col min="8466" max="8704" width="11" style="1"/>
    <col min="8705" max="8705" width="16" style="1" customWidth="1"/>
    <col min="8706" max="8706" width="49.625" style="1" customWidth="1"/>
    <col min="8707" max="8707" width="15.25" style="1" customWidth="1"/>
    <col min="8708" max="8714" width="14.625" style="1" customWidth="1"/>
    <col min="8715" max="8715" width="0" style="1" hidden="1" customWidth="1"/>
    <col min="8716" max="8716" width="7.875" style="1" customWidth="1"/>
    <col min="8717" max="8717" width="17.375" style="1" customWidth="1"/>
    <col min="8718" max="8718" width="14.625" style="1" customWidth="1"/>
    <col min="8719" max="8719" width="8.5" style="1" customWidth="1"/>
    <col min="8720" max="8720" width="11" style="1"/>
    <col min="8721" max="8721" width="10.125" style="1" bestFit="1" customWidth="1"/>
    <col min="8722" max="8960" width="11" style="1"/>
    <col min="8961" max="8961" width="16" style="1" customWidth="1"/>
    <col min="8962" max="8962" width="49.625" style="1" customWidth="1"/>
    <col min="8963" max="8963" width="15.25" style="1" customWidth="1"/>
    <col min="8964" max="8970" width="14.625" style="1" customWidth="1"/>
    <col min="8971" max="8971" width="0" style="1" hidden="1" customWidth="1"/>
    <col min="8972" max="8972" width="7.875" style="1" customWidth="1"/>
    <col min="8973" max="8973" width="17.375" style="1" customWidth="1"/>
    <col min="8974" max="8974" width="14.625" style="1" customWidth="1"/>
    <col min="8975" max="8975" width="8.5" style="1" customWidth="1"/>
    <col min="8976" max="8976" width="11" style="1"/>
    <col min="8977" max="8977" width="10.125" style="1" bestFit="1" customWidth="1"/>
    <col min="8978" max="9216" width="11" style="1"/>
    <col min="9217" max="9217" width="16" style="1" customWidth="1"/>
    <col min="9218" max="9218" width="49.625" style="1" customWidth="1"/>
    <col min="9219" max="9219" width="15.25" style="1" customWidth="1"/>
    <col min="9220" max="9226" width="14.625" style="1" customWidth="1"/>
    <col min="9227" max="9227" width="0" style="1" hidden="1" customWidth="1"/>
    <col min="9228" max="9228" width="7.875" style="1" customWidth="1"/>
    <col min="9229" max="9229" width="17.375" style="1" customWidth="1"/>
    <col min="9230" max="9230" width="14.625" style="1" customWidth="1"/>
    <col min="9231" max="9231" width="8.5" style="1" customWidth="1"/>
    <col min="9232" max="9232" width="11" style="1"/>
    <col min="9233" max="9233" width="10.125" style="1" bestFit="1" customWidth="1"/>
    <col min="9234" max="9472" width="11" style="1"/>
    <col min="9473" max="9473" width="16" style="1" customWidth="1"/>
    <col min="9474" max="9474" width="49.625" style="1" customWidth="1"/>
    <col min="9475" max="9475" width="15.25" style="1" customWidth="1"/>
    <col min="9476" max="9482" width="14.625" style="1" customWidth="1"/>
    <col min="9483" max="9483" width="0" style="1" hidden="1" customWidth="1"/>
    <col min="9484" max="9484" width="7.875" style="1" customWidth="1"/>
    <col min="9485" max="9485" width="17.375" style="1" customWidth="1"/>
    <col min="9486" max="9486" width="14.625" style="1" customWidth="1"/>
    <col min="9487" max="9487" width="8.5" style="1" customWidth="1"/>
    <col min="9488" max="9488" width="11" style="1"/>
    <col min="9489" max="9489" width="10.125" style="1" bestFit="1" customWidth="1"/>
    <col min="9490" max="9728" width="11" style="1"/>
    <col min="9729" max="9729" width="16" style="1" customWidth="1"/>
    <col min="9730" max="9730" width="49.625" style="1" customWidth="1"/>
    <col min="9731" max="9731" width="15.25" style="1" customWidth="1"/>
    <col min="9732" max="9738" width="14.625" style="1" customWidth="1"/>
    <col min="9739" max="9739" width="0" style="1" hidden="1" customWidth="1"/>
    <col min="9740" max="9740" width="7.875" style="1" customWidth="1"/>
    <col min="9741" max="9741" width="17.375" style="1" customWidth="1"/>
    <col min="9742" max="9742" width="14.625" style="1" customWidth="1"/>
    <col min="9743" max="9743" width="8.5" style="1" customWidth="1"/>
    <col min="9744" max="9744" width="11" style="1"/>
    <col min="9745" max="9745" width="10.125" style="1" bestFit="1" customWidth="1"/>
    <col min="9746" max="9984" width="11" style="1"/>
    <col min="9985" max="9985" width="16" style="1" customWidth="1"/>
    <col min="9986" max="9986" width="49.625" style="1" customWidth="1"/>
    <col min="9987" max="9987" width="15.25" style="1" customWidth="1"/>
    <col min="9988" max="9994" width="14.625" style="1" customWidth="1"/>
    <col min="9995" max="9995" width="0" style="1" hidden="1" customWidth="1"/>
    <col min="9996" max="9996" width="7.875" style="1" customWidth="1"/>
    <col min="9997" max="9997" width="17.375" style="1" customWidth="1"/>
    <col min="9998" max="9998" width="14.625" style="1" customWidth="1"/>
    <col min="9999" max="9999" width="8.5" style="1" customWidth="1"/>
    <col min="10000" max="10000" width="11" style="1"/>
    <col min="10001" max="10001" width="10.125" style="1" bestFit="1" customWidth="1"/>
    <col min="10002" max="10240" width="11" style="1"/>
    <col min="10241" max="10241" width="16" style="1" customWidth="1"/>
    <col min="10242" max="10242" width="49.625" style="1" customWidth="1"/>
    <col min="10243" max="10243" width="15.25" style="1" customWidth="1"/>
    <col min="10244" max="10250" width="14.625" style="1" customWidth="1"/>
    <col min="10251" max="10251" width="0" style="1" hidden="1" customWidth="1"/>
    <col min="10252" max="10252" width="7.875" style="1" customWidth="1"/>
    <col min="10253" max="10253" width="17.375" style="1" customWidth="1"/>
    <col min="10254" max="10254" width="14.625" style="1" customWidth="1"/>
    <col min="10255" max="10255" width="8.5" style="1" customWidth="1"/>
    <col min="10256" max="10256" width="11" style="1"/>
    <col min="10257" max="10257" width="10.125" style="1" bestFit="1" customWidth="1"/>
    <col min="10258" max="10496" width="11" style="1"/>
    <col min="10497" max="10497" width="16" style="1" customWidth="1"/>
    <col min="10498" max="10498" width="49.625" style="1" customWidth="1"/>
    <col min="10499" max="10499" width="15.25" style="1" customWidth="1"/>
    <col min="10500" max="10506" width="14.625" style="1" customWidth="1"/>
    <col min="10507" max="10507" width="0" style="1" hidden="1" customWidth="1"/>
    <col min="10508" max="10508" width="7.875" style="1" customWidth="1"/>
    <col min="10509" max="10509" width="17.375" style="1" customWidth="1"/>
    <col min="10510" max="10510" width="14.625" style="1" customWidth="1"/>
    <col min="10511" max="10511" width="8.5" style="1" customWidth="1"/>
    <col min="10512" max="10512" width="11" style="1"/>
    <col min="10513" max="10513" width="10.125" style="1" bestFit="1" customWidth="1"/>
    <col min="10514" max="10752" width="11" style="1"/>
    <col min="10753" max="10753" width="16" style="1" customWidth="1"/>
    <col min="10754" max="10754" width="49.625" style="1" customWidth="1"/>
    <col min="10755" max="10755" width="15.25" style="1" customWidth="1"/>
    <col min="10756" max="10762" width="14.625" style="1" customWidth="1"/>
    <col min="10763" max="10763" width="0" style="1" hidden="1" customWidth="1"/>
    <col min="10764" max="10764" width="7.875" style="1" customWidth="1"/>
    <col min="10765" max="10765" width="17.375" style="1" customWidth="1"/>
    <col min="10766" max="10766" width="14.625" style="1" customWidth="1"/>
    <col min="10767" max="10767" width="8.5" style="1" customWidth="1"/>
    <col min="10768" max="10768" width="11" style="1"/>
    <col min="10769" max="10769" width="10.125" style="1" bestFit="1" customWidth="1"/>
    <col min="10770" max="11008" width="11" style="1"/>
    <col min="11009" max="11009" width="16" style="1" customWidth="1"/>
    <col min="11010" max="11010" width="49.625" style="1" customWidth="1"/>
    <col min="11011" max="11011" width="15.25" style="1" customWidth="1"/>
    <col min="11012" max="11018" width="14.625" style="1" customWidth="1"/>
    <col min="11019" max="11019" width="0" style="1" hidden="1" customWidth="1"/>
    <col min="11020" max="11020" width="7.875" style="1" customWidth="1"/>
    <col min="11021" max="11021" width="17.375" style="1" customWidth="1"/>
    <col min="11022" max="11022" width="14.625" style="1" customWidth="1"/>
    <col min="11023" max="11023" width="8.5" style="1" customWidth="1"/>
    <col min="11024" max="11024" width="11" style="1"/>
    <col min="11025" max="11025" width="10.125" style="1" bestFit="1" customWidth="1"/>
    <col min="11026" max="11264" width="11" style="1"/>
    <col min="11265" max="11265" width="16" style="1" customWidth="1"/>
    <col min="11266" max="11266" width="49.625" style="1" customWidth="1"/>
    <col min="11267" max="11267" width="15.25" style="1" customWidth="1"/>
    <col min="11268" max="11274" width="14.625" style="1" customWidth="1"/>
    <col min="11275" max="11275" width="0" style="1" hidden="1" customWidth="1"/>
    <col min="11276" max="11276" width="7.875" style="1" customWidth="1"/>
    <col min="11277" max="11277" width="17.375" style="1" customWidth="1"/>
    <col min="11278" max="11278" width="14.625" style="1" customWidth="1"/>
    <col min="11279" max="11279" width="8.5" style="1" customWidth="1"/>
    <col min="11280" max="11280" width="11" style="1"/>
    <col min="11281" max="11281" width="10.125" style="1" bestFit="1" customWidth="1"/>
    <col min="11282" max="11520" width="11" style="1"/>
    <col min="11521" max="11521" width="16" style="1" customWidth="1"/>
    <col min="11522" max="11522" width="49.625" style="1" customWidth="1"/>
    <col min="11523" max="11523" width="15.25" style="1" customWidth="1"/>
    <col min="11524" max="11530" width="14.625" style="1" customWidth="1"/>
    <col min="11531" max="11531" width="0" style="1" hidden="1" customWidth="1"/>
    <col min="11532" max="11532" width="7.875" style="1" customWidth="1"/>
    <col min="11533" max="11533" width="17.375" style="1" customWidth="1"/>
    <col min="11534" max="11534" width="14.625" style="1" customWidth="1"/>
    <col min="11535" max="11535" width="8.5" style="1" customWidth="1"/>
    <col min="11536" max="11536" width="11" style="1"/>
    <col min="11537" max="11537" width="10.125" style="1" bestFit="1" customWidth="1"/>
    <col min="11538" max="11776" width="11" style="1"/>
    <col min="11777" max="11777" width="16" style="1" customWidth="1"/>
    <col min="11778" max="11778" width="49.625" style="1" customWidth="1"/>
    <col min="11779" max="11779" width="15.25" style="1" customWidth="1"/>
    <col min="11780" max="11786" width="14.625" style="1" customWidth="1"/>
    <col min="11787" max="11787" width="0" style="1" hidden="1" customWidth="1"/>
    <col min="11788" max="11788" width="7.875" style="1" customWidth="1"/>
    <col min="11789" max="11789" width="17.375" style="1" customWidth="1"/>
    <col min="11790" max="11790" width="14.625" style="1" customWidth="1"/>
    <col min="11791" max="11791" width="8.5" style="1" customWidth="1"/>
    <col min="11792" max="11792" width="11" style="1"/>
    <col min="11793" max="11793" width="10.125" style="1" bestFit="1" customWidth="1"/>
    <col min="11794" max="12032" width="11" style="1"/>
    <col min="12033" max="12033" width="16" style="1" customWidth="1"/>
    <col min="12034" max="12034" width="49.625" style="1" customWidth="1"/>
    <col min="12035" max="12035" width="15.25" style="1" customWidth="1"/>
    <col min="12036" max="12042" width="14.625" style="1" customWidth="1"/>
    <col min="12043" max="12043" width="0" style="1" hidden="1" customWidth="1"/>
    <col min="12044" max="12044" width="7.875" style="1" customWidth="1"/>
    <col min="12045" max="12045" width="17.375" style="1" customWidth="1"/>
    <col min="12046" max="12046" width="14.625" style="1" customWidth="1"/>
    <col min="12047" max="12047" width="8.5" style="1" customWidth="1"/>
    <col min="12048" max="12048" width="11" style="1"/>
    <col min="12049" max="12049" width="10.125" style="1" bestFit="1" customWidth="1"/>
    <col min="12050" max="12288" width="11" style="1"/>
    <col min="12289" max="12289" width="16" style="1" customWidth="1"/>
    <col min="12290" max="12290" width="49.625" style="1" customWidth="1"/>
    <col min="12291" max="12291" width="15.25" style="1" customWidth="1"/>
    <col min="12292" max="12298" width="14.625" style="1" customWidth="1"/>
    <col min="12299" max="12299" width="0" style="1" hidden="1" customWidth="1"/>
    <col min="12300" max="12300" width="7.875" style="1" customWidth="1"/>
    <col min="12301" max="12301" width="17.375" style="1" customWidth="1"/>
    <col min="12302" max="12302" width="14.625" style="1" customWidth="1"/>
    <col min="12303" max="12303" width="8.5" style="1" customWidth="1"/>
    <col min="12304" max="12304" width="11" style="1"/>
    <col min="12305" max="12305" width="10.125" style="1" bestFit="1" customWidth="1"/>
    <col min="12306" max="12544" width="11" style="1"/>
    <col min="12545" max="12545" width="16" style="1" customWidth="1"/>
    <col min="12546" max="12546" width="49.625" style="1" customWidth="1"/>
    <col min="12547" max="12547" width="15.25" style="1" customWidth="1"/>
    <col min="12548" max="12554" width="14.625" style="1" customWidth="1"/>
    <col min="12555" max="12555" width="0" style="1" hidden="1" customWidth="1"/>
    <col min="12556" max="12556" width="7.875" style="1" customWidth="1"/>
    <col min="12557" max="12557" width="17.375" style="1" customWidth="1"/>
    <col min="12558" max="12558" width="14.625" style="1" customWidth="1"/>
    <col min="12559" max="12559" width="8.5" style="1" customWidth="1"/>
    <col min="12560" max="12560" width="11" style="1"/>
    <col min="12561" max="12561" width="10.125" style="1" bestFit="1" customWidth="1"/>
    <col min="12562" max="12800" width="11" style="1"/>
    <col min="12801" max="12801" width="16" style="1" customWidth="1"/>
    <col min="12802" max="12802" width="49.625" style="1" customWidth="1"/>
    <col min="12803" max="12803" width="15.25" style="1" customWidth="1"/>
    <col min="12804" max="12810" width="14.625" style="1" customWidth="1"/>
    <col min="12811" max="12811" width="0" style="1" hidden="1" customWidth="1"/>
    <col min="12812" max="12812" width="7.875" style="1" customWidth="1"/>
    <col min="12813" max="12813" width="17.375" style="1" customWidth="1"/>
    <col min="12814" max="12814" width="14.625" style="1" customWidth="1"/>
    <col min="12815" max="12815" width="8.5" style="1" customWidth="1"/>
    <col min="12816" max="12816" width="11" style="1"/>
    <col min="12817" max="12817" width="10.125" style="1" bestFit="1" customWidth="1"/>
    <col min="12818" max="13056" width="11" style="1"/>
    <col min="13057" max="13057" width="16" style="1" customWidth="1"/>
    <col min="13058" max="13058" width="49.625" style="1" customWidth="1"/>
    <col min="13059" max="13059" width="15.25" style="1" customWidth="1"/>
    <col min="13060" max="13066" width="14.625" style="1" customWidth="1"/>
    <col min="13067" max="13067" width="0" style="1" hidden="1" customWidth="1"/>
    <col min="13068" max="13068" width="7.875" style="1" customWidth="1"/>
    <col min="13069" max="13069" width="17.375" style="1" customWidth="1"/>
    <col min="13070" max="13070" width="14.625" style="1" customWidth="1"/>
    <col min="13071" max="13071" width="8.5" style="1" customWidth="1"/>
    <col min="13072" max="13072" width="11" style="1"/>
    <col min="13073" max="13073" width="10.125" style="1" bestFit="1" customWidth="1"/>
    <col min="13074" max="13312" width="11" style="1"/>
    <col min="13313" max="13313" width="16" style="1" customWidth="1"/>
    <col min="13314" max="13314" width="49.625" style="1" customWidth="1"/>
    <col min="13315" max="13315" width="15.25" style="1" customWidth="1"/>
    <col min="13316" max="13322" width="14.625" style="1" customWidth="1"/>
    <col min="13323" max="13323" width="0" style="1" hidden="1" customWidth="1"/>
    <col min="13324" max="13324" width="7.875" style="1" customWidth="1"/>
    <col min="13325" max="13325" width="17.375" style="1" customWidth="1"/>
    <col min="13326" max="13326" width="14.625" style="1" customWidth="1"/>
    <col min="13327" max="13327" width="8.5" style="1" customWidth="1"/>
    <col min="13328" max="13328" width="11" style="1"/>
    <col min="13329" max="13329" width="10.125" style="1" bestFit="1" customWidth="1"/>
    <col min="13330" max="13568" width="11" style="1"/>
    <col min="13569" max="13569" width="16" style="1" customWidth="1"/>
    <col min="13570" max="13570" width="49.625" style="1" customWidth="1"/>
    <col min="13571" max="13571" width="15.25" style="1" customWidth="1"/>
    <col min="13572" max="13578" width="14.625" style="1" customWidth="1"/>
    <col min="13579" max="13579" width="0" style="1" hidden="1" customWidth="1"/>
    <col min="13580" max="13580" width="7.875" style="1" customWidth="1"/>
    <col min="13581" max="13581" width="17.375" style="1" customWidth="1"/>
    <col min="13582" max="13582" width="14.625" style="1" customWidth="1"/>
    <col min="13583" max="13583" width="8.5" style="1" customWidth="1"/>
    <col min="13584" max="13584" width="11" style="1"/>
    <col min="13585" max="13585" width="10.125" style="1" bestFit="1" customWidth="1"/>
    <col min="13586" max="13824" width="11" style="1"/>
    <col min="13825" max="13825" width="16" style="1" customWidth="1"/>
    <col min="13826" max="13826" width="49.625" style="1" customWidth="1"/>
    <col min="13827" max="13827" width="15.25" style="1" customWidth="1"/>
    <col min="13828" max="13834" width="14.625" style="1" customWidth="1"/>
    <col min="13835" max="13835" width="0" style="1" hidden="1" customWidth="1"/>
    <col min="13836" max="13836" width="7.875" style="1" customWidth="1"/>
    <col min="13837" max="13837" width="17.375" style="1" customWidth="1"/>
    <col min="13838" max="13838" width="14.625" style="1" customWidth="1"/>
    <col min="13839" max="13839" width="8.5" style="1" customWidth="1"/>
    <col min="13840" max="13840" width="11" style="1"/>
    <col min="13841" max="13841" width="10.125" style="1" bestFit="1" customWidth="1"/>
    <col min="13842" max="14080" width="11" style="1"/>
    <col min="14081" max="14081" width="16" style="1" customWidth="1"/>
    <col min="14082" max="14082" width="49.625" style="1" customWidth="1"/>
    <col min="14083" max="14083" width="15.25" style="1" customWidth="1"/>
    <col min="14084" max="14090" width="14.625" style="1" customWidth="1"/>
    <col min="14091" max="14091" width="0" style="1" hidden="1" customWidth="1"/>
    <col min="14092" max="14092" width="7.875" style="1" customWidth="1"/>
    <col min="14093" max="14093" width="17.375" style="1" customWidth="1"/>
    <col min="14094" max="14094" width="14.625" style="1" customWidth="1"/>
    <col min="14095" max="14095" width="8.5" style="1" customWidth="1"/>
    <col min="14096" max="14096" width="11" style="1"/>
    <col min="14097" max="14097" width="10.125" style="1" bestFit="1" customWidth="1"/>
    <col min="14098" max="14336" width="11" style="1"/>
    <col min="14337" max="14337" width="16" style="1" customWidth="1"/>
    <col min="14338" max="14338" width="49.625" style="1" customWidth="1"/>
    <col min="14339" max="14339" width="15.25" style="1" customWidth="1"/>
    <col min="14340" max="14346" width="14.625" style="1" customWidth="1"/>
    <col min="14347" max="14347" width="0" style="1" hidden="1" customWidth="1"/>
    <col min="14348" max="14348" width="7.875" style="1" customWidth="1"/>
    <col min="14349" max="14349" width="17.375" style="1" customWidth="1"/>
    <col min="14350" max="14350" width="14.625" style="1" customWidth="1"/>
    <col min="14351" max="14351" width="8.5" style="1" customWidth="1"/>
    <col min="14352" max="14352" width="11" style="1"/>
    <col min="14353" max="14353" width="10.125" style="1" bestFit="1" customWidth="1"/>
    <col min="14354" max="14592" width="11" style="1"/>
    <col min="14593" max="14593" width="16" style="1" customWidth="1"/>
    <col min="14594" max="14594" width="49.625" style="1" customWidth="1"/>
    <col min="14595" max="14595" width="15.25" style="1" customWidth="1"/>
    <col min="14596" max="14602" width="14.625" style="1" customWidth="1"/>
    <col min="14603" max="14603" width="0" style="1" hidden="1" customWidth="1"/>
    <col min="14604" max="14604" width="7.875" style="1" customWidth="1"/>
    <col min="14605" max="14605" width="17.375" style="1" customWidth="1"/>
    <col min="14606" max="14606" width="14.625" style="1" customWidth="1"/>
    <col min="14607" max="14607" width="8.5" style="1" customWidth="1"/>
    <col min="14608" max="14608" width="11" style="1"/>
    <col min="14609" max="14609" width="10.125" style="1" bestFit="1" customWidth="1"/>
    <col min="14610" max="14848" width="11" style="1"/>
    <col min="14849" max="14849" width="16" style="1" customWidth="1"/>
    <col min="14850" max="14850" width="49.625" style="1" customWidth="1"/>
    <col min="14851" max="14851" width="15.25" style="1" customWidth="1"/>
    <col min="14852" max="14858" width="14.625" style="1" customWidth="1"/>
    <col min="14859" max="14859" width="0" style="1" hidden="1" customWidth="1"/>
    <col min="14860" max="14860" width="7.875" style="1" customWidth="1"/>
    <col min="14861" max="14861" width="17.375" style="1" customWidth="1"/>
    <col min="14862" max="14862" width="14.625" style="1" customWidth="1"/>
    <col min="14863" max="14863" width="8.5" style="1" customWidth="1"/>
    <col min="14864" max="14864" width="11" style="1"/>
    <col min="14865" max="14865" width="10.125" style="1" bestFit="1" customWidth="1"/>
    <col min="14866" max="15104" width="11" style="1"/>
    <col min="15105" max="15105" width="16" style="1" customWidth="1"/>
    <col min="15106" max="15106" width="49.625" style="1" customWidth="1"/>
    <col min="15107" max="15107" width="15.25" style="1" customWidth="1"/>
    <col min="15108" max="15114" width="14.625" style="1" customWidth="1"/>
    <col min="15115" max="15115" width="0" style="1" hidden="1" customWidth="1"/>
    <col min="15116" max="15116" width="7.875" style="1" customWidth="1"/>
    <col min="15117" max="15117" width="17.375" style="1" customWidth="1"/>
    <col min="15118" max="15118" width="14.625" style="1" customWidth="1"/>
    <col min="15119" max="15119" width="8.5" style="1" customWidth="1"/>
    <col min="15120" max="15120" width="11" style="1"/>
    <col min="15121" max="15121" width="10.125" style="1" bestFit="1" customWidth="1"/>
    <col min="15122" max="15360" width="11" style="1"/>
    <col min="15361" max="15361" width="16" style="1" customWidth="1"/>
    <col min="15362" max="15362" width="49.625" style="1" customWidth="1"/>
    <col min="15363" max="15363" width="15.25" style="1" customWidth="1"/>
    <col min="15364" max="15370" width="14.625" style="1" customWidth="1"/>
    <col min="15371" max="15371" width="0" style="1" hidden="1" customWidth="1"/>
    <col min="15372" max="15372" width="7.875" style="1" customWidth="1"/>
    <col min="15373" max="15373" width="17.375" style="1" customWidth="1"/>
    <col min="15374" max="15374" width="14.625" style="1" customWidth="1"/>
    <col min="15375" max="15375" width="8.5" style="1" customWidth="1"/>
    <col min="15376" max="15376" width="11" style="1"/>
    <col min="15377" max="15377" width="10.125" style="1" bestFit="1" customWidth="1"/>
    <col min="15378" max="15616" width="11" style="1"/>
    <col min="15617" max="15617" width="16" style="1" customWidth="1"/>
    <col min="15618" max="15618" width="49.625" style="1" customWidth="1"/>
    <col min="15619" max="15619" width="15.25" style="1" customWidth="1"/>
    <col min="15620" max="15626" width="14.625" style="1" customWidth="1"/>
    <col min="15627" max="15627" width="0" style="1" hidden="1" customWidth="1"/>
    <col min="15628" max="15628" width="7.875" style="1" customWidth="1"/>
    <col min="15629" max="15629" width="17.375" style="1" customWidth="1"/>
    <col min="15630" max="15630" width="14.625" style="1" customWidth="1"/>
    <col min="15631" max="15631" width="8.5" style="1" customWidth="1"/>
    <col min="15632" max="15632" width="11" style="1"/>
    <col min="15633" max="15633" width="10.125" style="1" bestFit="1" customWidth="1"/>
    <col min="15634" max="15872" width="11" style="1"/>
    <col min="15873" max="15873" width="16" style="1" customWidth="1"/>
    <col min="15874" max="15874" width="49.625" style="1" customWidth="1"/>
    <col min="15875" max="15875" width="15.25" style="1" customWidth="1"/>
    <col min="15876" max="15882" width="14.625" style="1" customWidth="1"/>
    <col min="15883" max="15883" width="0" style="1" hidden="1" customWidth="1"/>
    <col min="15884" max="15884" width="7.875" style="1" customWidth="1"/>
    <col min="15885" max="15885" width="17.375" style="1" customWidth="1"/>
    <col min="15886" max="15886" width="14.625" style="1" customWidth="1"/>
    <col min="15887" max="15887" width="8.5" style="1" customWidth="1"/>
    <col min="15888" max="15888" width="11" style="1"/>
    <col min="15889" max="15889" width="10.125" style="1" bestFit="1" customWidth="1"/>
    <col min="15890" max="16128" width="11" style="1"/>
    <col min="16129" max="16129" width="16" style="1" customWidth="1"/>
    <col min="16130" max="16130" width="49.625" style="1" customWidth="1"/>
    <col min="16131" max="16131" width="15.25" style="1" customWidth="1"/>
    <col min="16132" max="16138" width="14.625" style="1" customWidth="1"/>
    <col min="16139" max="16139" width="0" style="1" hidden="1" customWidth="1"/>
    <col min="16140" max="16140" width="7.875" style="1" customWidth="1"/>
    <col min="16141" max="16141" width="17.375" style="1" customWidth="1"/>
    <col min="16142" max="16142" width="14.625" style="1" customWidth="1"/>
    <col min="16143" max="16143" width="8.5" style="1" customWidth="1"/>
    <col min="16144" max="16144" width="11" style="1"/>
    <col min="16145" max="16145" width="10.125" style="1" bestFit="1" customWidth="1"/>
    <col min="16146" max="16384" width="11" style="1"/>
  </cols>
  <sheetData>
    <row r="1" spans="1:15" ht="18" x14ac:dyDescent="0.2">
      <c r="A1" s="195" t="s">
        <v>0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</row>
    <row r="2" spans="1:15" ht="18" x14ac:dyDescent="0.25">
      <c r="A2" s="196" t="s">
        <v>1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</row>
    <row r="3" spans="1:15" ht="18" x14ac:dyDescent="0.25">
      <c r="A3" s="196" t="s">
        <v>129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</row>
    <row r="4" spans="1:15" ht="18.75" thickBot="1" x14ac:dyDescent="0.3">
      <c r="A4" s="2"/>
      <c r="B4" s="4"/>
      <c r="C4" s="4"/>
      <c r="D4" s="4"/>
      <c r="E4" s="6"/>
      <c r="F4" s="6"/>
      <c r="G4" s="4"/>
      <c r="H4" s="4"/>
      <c r="I4" s="4"/>
      <c r="J4" s="4"/>
      <c r="K4" s="4"/>
      <c r="L4" s="4"/>
      <c r="M4" s="5"/>
      <c r="N4" s="4"/>
      <c r="O4" s="3"/>
    </row>
    <row r="5" spans="1:15" ht="23.25" customHeight="1" x14ac:dyDescent="0.25">
      <c r="A5" s="47" t="s">
        <v>3</v>
      </c>
      <c r="B5" s="48" t="s">
        <v>4</v>
      </c>
      <c r="C5" s="49" t="s">
        <v>5</v>
      </c>
      <c r="D5" s="50" t="s">
        <v>6</v>
      </c>
      <c r="E5" s="51" t="s">
        <v>7</v>
      </c>
      <c r="F5" s="51" t="s">
        <v>8</v>
      </c>
      <c r="G5" s="49" t="s">
        <v>9</v>
      </c>
      <c r="H5" s="50" t="s">
        <v>10</v>
      </c>
      <c r="I5" s="51" t="s">
        <v>11</v>
      </c>
      <c r="J5" s="49" t="s">
        <v>12</v>
      </c>
      <c r="K5" s="49" t="s">
        <v>13</v>
      </c>
      <c r="L5" s="201" t="s">
        <v>14</v>
      </c>
      <c r="M5" s="52" t="s">
        <v>10</v>
      </c>
      <c r="N5" s="49" t="s">
        <v>15</v>
      </c>
      <c r="O5" s="53" t="s">
        <v>14</v>
      </c>
    </row>
    <row r="6" spans="1:15" ht="23.25" customHeight="1" thickBot="1" x14ac:dyDescent="0.3">
      <c r="A6" s="54"/>
      <c r="B6" s="55"/>
      <c r="C6" s="56" t="s">
        <v>16</v>
      </c>
      <c r="D6" s="57"/>
      <c r="E6" s="58"/>
      <c r="F6" s="58"/>
      <c r="G6" s="56" t="s">
        <v>8</v>
      </c>
      <c r="H6" s="57" t="s">
        <v>5</v>
      </c>
      <c r="I6" s="59" t="s">
        <v>17</v>
      </c>
      <c r="J6" s="56" t="s">
        <v>18</v>
      </c>
      <c r="K6" s="56" t="s">
        <v>19</v>
      </c>
      <c r="L6" s="202"/>
      <c r="M6" s="60" t="s">
        <v>19</v>
      </c>
      <c r="N6" s="56" t="s">
        <v>20</v>
      </c>
      <c r="O6" s="61"/>
    </row>
    <row r="7" spans="1:15" ht="15" x14ac:dyDescent="0.25">
      <c r="A7" s="7"/>
      <c r="B7" s="8"/>
      <c r="C7" s="9"/>
      <c r="D7" s="9"/>
      <c r="E7" s="10"/>
      <c r="F7" s="10"/>
      <c r="G7" s="9"/>
      <c r="H7" s="9"/>
      <c r="I7" s="11"/>
      <c r="J7" s="9"/>
      <c r="K7" s="9"/>
      <c r="L7" s="9"/>
      <c r="M7" s="12"/>
      <c r="N7" s="13"/>
      <c r="O7" s="14"/>
    </row>
    <row r="8" spans="1:15" s="77" customFormat="1" ht="27.75" customHeight="1" x14ac:dyDescent="0.2">
      <c r="A8" s="65" t="s">
        <v>21</v>
      </c>
      <c r="B8" s="76" t="s">
        <v>22</v>
      </c>
      <c r="C8" s="68">
        <f t="shared" ref="C8:H8" si="0">SUM(C9:C18)</f>
        <v>647432879</v>
      </c>
      <c r="D8" s="68">
        <f t="shared" si="0"/>
        <v>0</v>
      </c>
      <c r="E8" s="68">
        <f t="shared" si="0"/>
        <v>0</v>
      </c>
      <c r="F8" s="68">
        <f t="shared" si="0"/>
        <v>291507</v>
      </c>
      <c r="G8" s="68">
        <f t="shared" si="0"/>
        <v>18900000</v>
      </c>
      <c r="H8" s="68">
        <f t="shared" si="0"/>
        <v>628824386</v>
      </c>
      <c r="I8" s="68">
        <f>I9+I10+I11+I12+I13+I14+I16+I17+I18</f>
        <v>323163438.97776085</v>
      </c>
      <c r="J8" s="68">
        <f>SUM(J9:J18)</f>
        <v>54588125</v>
      </c>
      <c r="K8" s="68">
        <f>K9+K10+K11+K12+K13+K14+K16+K17+K18</f>
        <v>377460056.97776085</v>
      </c>
      <c r="L8" s="69">
        <f t="shared" ref="L8:L71" si="1">K8/H8</f>
        <v>0.6002630708691391</v>
      </c>
      <c r="M8" s="70">
        <f>I8+J8</f>
        <v>377751563.97776085</v>
      </c>
      <c r="N8" s="68">
        <f>SUM(N9:N18)</f>
        <v>251072822.02223915</v>
      </c>
      <c r="O8" s="71">
        <f t="shared" ref="O8:O39" si="2">N8/H8</f>
        <v>0.39927335455186869</v>
      </c>
    </row>
    <row r="9" spans="1:15" ht="15" x14ac:dyDescent="0.25">
      <c r="A9" s="19" t="s">
        <v>23</v>
      </c>
      <c r="B9" s="20" t="s">
        <v>24</v>
      </c>
      <c r="C9" s="21">
        <v>491332879</v>
      </c>
      <c r="D9" s="22"/>
      <c r="E9" s="23"/>
      <c r="F9" s="36"/>
      <c r="G9" s="62">
        <v>18900000</v>
      </c>
      <c r="H9" s="21">
        <f>C9-D9+E9+F9-G9</f>
        <v>472432879</v>
      </c>
      <c r="I9" s="22">
        <f>JULIO!I9+JULIO!J9</f>
        <v>271268641</v>
      </c>
      <c r="J9" s="43">
        <v>43313591</v>
      </c>
      <c r="K9" s="21">
        <f>SUM(I9:J9)</f>
        <v>314582232</v>
      </c>
      <c r="L9" s="16">
        <f t="shared" si="1"/>
        <v>0.66587709277533158</v>
      </c>
      <c r="M9" s="25">
        <f t="shared" ref="M9:M70" si="3">J9+I9</f>
        <v>314582232</v>
      </c>
      <c r="N9" s="26">
        <f t="shared" ref="N9:N18" si="4">H9-K9</f>
        <v>157850647</v>
      </c>
      <c r="O9" s="18">
        <f t="shared" si="2"/>
        <v>0.33412290722466842</v>
      </c>
    </row>
    <row r="10" spans="1:15" ht="15" x14ac:dyDescent="0.25">
      <c r="A10" s="19" t="s">
        <v>25</v>
      </c>
      <c r="B10" s="20" t="s">
        <v>26</v>
      </c>
      <c r="C10" s="21">
        <v>0</v>
      </c>
      <c r="D10" s="22"/>
      <c r="E10" s="23"/>
      <c r="F10" s="36"/>
      <c r="G10" s="63"/>
      <c r="H10" s="21">
        <f t="shared" ref="H10:H23" si="5">C10-D10+E10+F10-G10</f>
        <v>0</v>
      </c>
      <c r="I10" s="22">
        <f>JULIO!I10+JULIO!J10</f>
        <v>0</v>
      </c>
      <c r="J10" s="22">
        <v>0</v>
      </c>
      <c r="K10" s="21">
        <f t="shared" ref="K10:K23" si="6">SUM(I10:J10)</f>
        <v>0</v>
      </c>
      <c r="L10" s="16">
        <v>0</v>
      </c>
      <c r="M10" s="25">
        <f t="shared" si="3"/>
        <v>0</v>
      </c>
      <c r="N10" s="26">
        <f t="shared" si="4"/>
        <v>0</v>
      </c>
      <c r="O10" s="18">
        <v>0</v>
      </c>
    </row>
    <row r="11" spans="1:15" ht="15" x14ac:dyDescent="0.25">
      <c r="A11" s="19" t="s">
        <v>27</v>
      </c>
      <c r="B11" s="20" t="s">
        <v>28</v>
      </c>
      <c r="C11" s="21">
        <v>2300000</v>
      </c>
      <c r="D11" s="22"/>
      <c r="E11" s="23"/>
      <c r="F11" s="36"/>
      <c r="G11" s="63"/>
      <c r="H11" s="21">
        <f t="shared" si="5"/>
        <v>2300000</v>
      </c>
      <c r="I11" s="22">
        <f>JULIO!I11+JULIO!J11</f>
        <v>581980</v>
      </c>
      <c r="J11" s="22">
        <v>83140</v>
      </c>
      <c r="K11" s="21">
        <f t="shared" si="6"/>
        <v>665120</v>
      </c>
      <c r="L11" s="16">
        <f t="shared" si="1"/>
        <v>0.28918260869565215</v>
      </c>
      <c r="M11" s="25">
        <f t="shared" si="3"/>
        <v>665120</v>
      </c>
      <c r="N11" s="26">
        <f t="shared" si="4"/>
        <v>1634880</v>
      </c>
      <c r="O11" s="18">
        <f t="shared" si="2"/>
        <v>0.71081739130434785</v>
      </c>
    </row>
    <row r="12" spans="1:15" ht="15.75" customHeight="1" x14ac:dyDescent="0.25">
      <c r="A12" s="19" t="s">
        <v>29</v>
      </c>
      <c r="B12" s="20" t="s">
        <v>30</v>
      </c>
      <c r="C12" s="21">
        <v>1800000</v>
      </c>
      <c r="D12" s="22"/>
      <c r="E12" s="23"/>
      <c r="F12" s="36"/>
      <c r="G12" s="63"/>
      <c r="H12" s="21">
        <f t="shared" si="5"/>
        <v>1800000</v>
      </c>
      <c r="I12" s="22">
        <f>JULIO!I12+JULIO!J12</f>
        <v>801570</v>
      </c>
      <c r="J12" s="22">
        <v>114510</v>
      </c>
      <c r="K12" s="21">
        <f t="shared" si="6"/>
        <v>916080</v>
      </c>
      <c r="L12" s="16">
        <f t="shared" si="1"/>
        <v>0.50893333333333335</v>
      </c>
      <c r="M12" s="25">
        <f t="shared" si="3"/>
        <v>916080</v>
      </c>
      <c r="N12" s="26">
        <f t="shared" si="4"/>
        <v>883920</v>
      </c>
      <c r="O12" s="18">
        <f t="shared" si="2"/>
        <v>0.49106666666666665</v>
      </c>
    </row>
    <row r="13" spans="1:15" ht="15" x14ac:dyDescent="0.25">
      <c r="A13" s="19" t="s">
        <v>31</v>
      </c>
      <c r="B13" s="20" t="s">
        <v>32</v>
      </c>
      <c r="C13" s="21">
        <v>15000000</v>
      </c>
      <c r="D13" s="22"/>
      <c r="E13" s="23"/>
      <c r="F13" s="36"/>
      <c r="G13" s="63"/>
      <c r="H13" s="21">
        <f t="shared" si="5"/>
        <v>15000000</v>
      </c>
      <c r="I13" s="22">
        <f>JULIO!I13+JULIO!J13</f>
        <v>10778925</v>
      </c>
      <c r="J13" s="43">
        <v>474964</v>
      </c>
      <c r="K13" s="21">
        <f t="shared" si="6"/>
        <v>11253889</v>
      </c>
      <c r="L13" s="16">
        <f t="shared" si="1"/>
        <v>0.75025926666666665</v>
      </c>
      <c r="M13" s="25">
        <f t="shared" si="3"/>
        <v>11253889</v>
      </c>
      <c r="N13" s="26">
        <f t="shared" si="4"/>
        <v>3746111</v>
      </c>
      <c r="O13" s="18">
        <f t="shared" si="2"/>
        <v>0.24974073333333333</v>
      </c>
    </row>
    <row r="14" spans="1:15" ht="15" x14ac:dyDescent="0.25">
      <c r="A14" s="19" t="s">
        <v>33</v>
      </c>
      <c r="B14" s="20" t="s">
        <v>34</v>
      </c>
      <c r="C14" s="21">
        <v>22000000</v>
      </c>
      <c r="D14" s="22"/>
      <c r="E14" s="23"/>
      <c r="F14" s="36"/>
      <c r="G14" s="63"/>
      <c r="H14" s="21">
        <f t="shared" si="5"/>
        <v>22000000</v>
      </c>
      <c r="I14" s="22">
        <f>JULIO!I14+JULIO!J14</f>
        <v>21003068</v>
      </c>
      <c r="J14" s="44">
        <f>1288439-J15</f>
        <v>996932</v>
      </c>
      <c r="K14" s="21">
        <f t="shared" si="6"/>
        <v>22000000</v>
      </c>
      <c r="L14" s="16">
        <f t="shared" si="1"/>
        <v>1</v>
      </c>
      <c r="M14" s="25">
        <f t="shared" si="3"/>
        <v>22000000</v>
      </c>
      <c r="N14" s="26">
        <f t="shared" si="4"/>
        <v>0</v>
      </c>
      <c r="O14" s="18">
        <f t="shared" si="2"/>
        <v>0</v>
      </c>
    </row>
    <row r="15" spans="1:15" ht="15" x14ac:dyDescent="0.25">
      <c r="A15" s="19">
        <v>45</v>
      </c>
      <c r="B15" s="20" t="s">
        <v>34</v>
      </c>
      <c r="C15" s="21">
        <v>0</v>
      </c>
      <c r="D15" s="22"/>
      <c r="E15" s="23"/>
      <c r="F15" s="36">
        <v>291507</v>
      </c>
      <c r="G15" s="63"/>
      <c r="H15" s="21">
        <f t="shared" si="5"/>
        <v>291507</v>
      </c>
      <c r="I15" s="22">
        <f>JULIO!I15+JULIO!J15</f>
        <v>0</v>
      </c>
      <c r="J15" s="44">
        <v>291507</v>
      </c>
      <c r="K15" s="21"/>
      <c r="L15" s="16">
        <f t="shared" si="1"/>
        <v>0</v>
      </c>
      <c r="M15" s="25">
        <f t="shared" si="3"/>
        <v>291507</v>
      </c>
      <c r="N15" s="26">
        <f>H15-J15</f>
        <v>0</v>
      </c>
      <c r="O15" s="18">
        <f t="shared" si="2"/>
        <v>0</v>
      </c>
    </row>
    <row r="16" spans="1:15" ht="15" x14ac:dyDescent="0.25">
      <c r="A16" s="19" t="s">
        <v>35</v>
      </c>
      <c r="B16" s="20" t="s">
        <v>36</v>
      </c>
      <c r="C16" s="21">
        <v>33000000</v>
      </c>
      <c r="D16" s="22"/>
      <c r="E16" s="23"/>
      <c r="F16" s="36"/>
      <c r="G16" s="63"/>
      <c r="H16" s="21">
        <f t="shared" si="5"/>
        <v>33000000</v>
      </c>
      <c r="I16" s="22">
        <f>JULIO!I16+JULIO!J16</f>
        <v>6546100</v>
      </c>
      <c r="J16" s="43">
        <v>3583424</v>
      </c>
      <c r="K16" s="21">
        <f t="shared" si="6"/>
        <v>10129524</v>
      </c>
      <c r="L16" s="16">
        <f t="shared" si="1"/>
        <v>0.30695527272727274</v>
      </c>
      <c r="M16" s="25">
        <f t="shared" si="3"/>
        <v>10129524</v>
      </c>
      <c r="N16" s="26">
        <f t="shared" si="4"/>
        <v>22870476</v>
      </c>
      <c r="O16" s="18">
        <f t="shared" si="2"/>
        <v>0.69304472727272726</v>
      </c>
    </row>
    <row r="17" spans="1:15" ht="15" x14ac:dyDescent="0.25">
      <c r="A17" s="28">
        <v>2020110109</v>
      </c>
      <c r="B17" s="20" t="s">
        <v>37</v>
      </c>
      <c r="C17" s="21">
        <v>44000000</v>
      </c>
      <c r="D17" s="22"/>
      <c r="E17" s="23"/>
      <c r="F17" s="36"/>
      <c r="G17" s="63"/>
      <c r="H17" s="21">
        <f t="shared" si="5"/>
        <v>44000000</v>
      </c>
      <c r="I17" s="22">
        <f>JULIO!I17+JULIO!J17</f>
        <v>11828228.977760866</v>
      </c>
      <c r="J17" s="43">
        <v>5730057</v>
      </c>
      <c r="K17" s="21">
        <f>SUM(I17:J17)</f>
        <v>17558285.977760866</v>
      </c>
      <c r="L17" s="16">
        <f t="shared" si="1"/>
        <v>0.3990519540400197</v>
      </c>
      <c r="M17" s="25">
        <f t="shared" si="3"/>
        <v>17558285.977760866</v>
      </c>
      <c r="N17" s="26">
        <f t="shared" si="4"/>
        <v>26441714.022239134</v>
      </c>
      <c r="O17" s="18">
        <f t="shared" si="2"/>
        <v>0.6009480459599803</v>
      </c>
    </row>
    <row r="18" spans="1:15" ht="15" x14ac:dyDescent="0.25">
      <c r="A18" s="28">
        <v>2020110108</v>
      </c>
      <c r="B18" s="20" t="s">
        <v>38</v>
      </c>
      <c r="C18" s="21">
        <v>38000000</v>
      </c>
      <c r="D18" s="22"/>
      <c r="E18" s="23"/>
      <c r="F18" s="36"/>
      <c r="G18" s="63"/>
      <c r="H18" s="21">
        <f t="shared" si="5"/>
        <v>38000000</v>
      </c>
      <c r="I18" s="22">
        <f>JULIO!I18+JULIO!J18</f>
        <v>354926</v>
      </c>
      <c r="J18" s="43">
        <v>0</v>
      </c>
      <c r="K18" s="21">
        <f t="shared" si="6"/>
        <v>354926</v>
      </c>
      <c r="L18" s="16">
        <f t="shared" si="1"/>
        <v>9.3401578947368419E-3</v>
      </c>
      <c r="M18" s="25">
        <f t="shared" si="3"/>
        <v>354926</v>
      </c>
      <c r="N18" s="26">
        <f t="shared" si="4"/>
        <v>37645074</v>
      </c>
      <c r="O18" s="18">
        <f t="shared" si="2"/>
        <v>0.99065984210526314</v>
      </c>
    </row>
    <row r="19" spans="1:15" s="72" customFormat="1" ht="27.75" customHeight="1" x14ac:dyDescent="0.2">
      <c r="A19" s="65" t="s">
        <v>39</v>
      </c>
      <c r="B19" s="76" t="s">
        <v>40</v>
      </c>
      <c r="C19" s="68">
        <f t="shared" ref="C19:G19" si="7">SUM(C20:C23)</f>
        <v>20000000</v>
      </c>
      <c r="D19" s="68">
        <f t="shared" si="7"/>
        <v>0</v>
      </c>
      <c r="E19" s="68">
        <f t="shared" si="7"/>
        <v>9000000</v>
      </c>
      <c r="F19" s="68">
        <f t="shared" si="7"/>
        <v>15400000</v>
      </c>
      <c r="G19" s="68">
        <f t="shared" si="7"/>
        <v>0</v>
      </c>
      <c r="H19" s="68">
        <f>SUM(H20:H23)</f>
        <v>44400000</v>
      </c>
      <c r="I19" s="68">
        <f>SUM(I20:I23)</f>
        <v>38600000</v>
      </c>
      <c r="J19" s="68">
        <f>J20+J22+J23+J21</f>
        <v>0</v>
      </c>
      <c r="K19" s="68">
        <f t="shared" ref="K19" si="8">K20+K22+K23</f>
        <v>20000000</v>
      </c>
      <c r="L19" s="69">
        <f t="shared" si="1"/>
        <v>0.45045045045045046</v>
      </c>
      <c r="M19" s="75">
        <f t="shared" si="3"/>
        <v>38600000</v>
      </c>
      <c r="N19" s="75">
        <f>SUM(N20:N23)</f>
        <v>5800000</v>
      </c>
      <c r="O19" s="71">
        <f t="shared" si="2"/>
        <v>0.13063063063063063</v>
      </c>
    </row>
    <row r="20" spans="1:15" ht="15" x14ac:dyDescent="0.25">
      <c r="A20" s="19" t="s">
        <v>41</v>
      </c>
      <c r="B20" s="30" t="s">
        <v>42</v>
      </c>
      <c r="C20" s="31">
        <v>20000000</v>
      </c>
      <c r="D20" s="22"/>
      <c r="E20" s="23"/>
      <c r="F20" s="36"/>
      <c r="G20" s="63"/>
      <c r="H20" s="21">
        <f t="shared" si="5"/>
        <v>20000000</v>
      </c>
      <c r="I20" s="22">
        <f>JULIO!I20+JULIO!J20</f>
        <v>20000000</v>
      </c>
      <c r="J20" s="22">
        <v>0</v>
      </c>
      <c r="K20" s="21">
        <f t="shared" si="6"/>
        <v>20000000</v>
      </c>
      <c r="L20" s="16">
        <f t="shared" si="1"/>
        <v>1</v>
      </c>
      <c r="M20" s="25">
        <f t="shared" si="3"/>
        <v>20000000</v>
      </c>
      <c r="N20" s="26">
        <f>H20-K20</f>
        <v>0</v>
      </c>
      <c r="O20" s="18">
        <f>N20/H20</f>
        <v>0</v>
      </c>
    </row>
    <row r="21" spans="1:15" ht="15" x14ac:dyDescent="0.25">
      <c r="A21" s="19">
        <v>45</v>
      </c>
      <c r="B21" s="30" t="s">
        <v>42</v>
      </c>
      <c r="C21" s="31"/>
      <c r="D21" s="22"/>
      <c r="E21" s="23">
        <v>9000000</v>
      </c>
      <c r="F21" s="36">
        <v>15400000</v>
      </c>
      <c r="G21" s="63"/>
      <c r="H21" s="21">
        <f t="shared" si="5"/>
        <v>24400000</v>
      </c>
      <c r="I21" s="22">
        <f>JULIO!I21+JULIO!J21</f>
        <v>18600000</v>
      </c>
      <c r="J21" s="22">
        <v>0</v>
      </c>
      <c r="K21" s="21">
        <f t="shared" si="6"/>
        <v>18600000</v>
      </c>
      <c r="L21" s="16">
        <f t="shared" si="1"/>
        <v>0.76229508196721307</v>
      </c>
      <c r="M21" s="25">
        <f t="shared" si="3"/>
        <v>18600000</v>
      </c>
      <c r="N21" s="26">
        <f>H21-K21</f>
        <v>5800000</v>
      </c>
      <c r="O21" s="18">
        <f>N21/H21</f>
        <v>0.23770491803278687</v>
      </c>
    </row>
    <row r="22" spans="1:15" ht="15" x14ac:dyDescent="0.25">
      <c r="A22" s="19" t="s">
        <v>43</v>
      </c>
      <c r="B22" s="20" t="s">
        <v>44</v>
      </c>
      <c r="C22" s="32">
        <v>0</v>
      </c>
      <c r="D22" s="22"/>
      <c r="E22" s="23"/>
      <c r="F22" s="36"/>
      <c r="G22" s="63"/>
      <c r="H22" s="21">
        <f t="shared" si="5"/>
        <v>0</v>
      </c>
      <c r="I22" s="22">
        <f>JULIO!I22+JULIO!J22</f>
        <v>0</v>
      </c>
      <c r="J22" s="22">
        <v>0</v>
      </c>
      <c r="K22" s="21">
        <f t="shared" si="6"/>
        <v>0</v>
      </c>
      <c r="L22" s="16">
        <v>0</v>
      </c>
      <c r="M22" s="25">
        <f t="shared" si="3"/>
        <v>0</v>
      </c>
      <c r="N22" s="26">
        <f>H22-K22</f>
        <v>0</v>
      </c>
      <c r="O22" s="18">
        <v>0</v>
      </c>
    </row>
    <row r="23" spans="1:15" ht="15" x14ac:dyDescent="0.25">
      <c r="A23" s="19" t="s">
        <v>45</v>
      </c>
      <c r="B23" s="33" t="s">
        <v>46</v>
      </c>
      <c r="C23" s="31">
        <v>0</v>
      </c>
      <c r="D23" s="22"/>
      <c r="E23" s="23"/>
      <c r="F23" s="36"/>
      <c r="G23" s="63"/>
      <c r="H23" s="21">
        <f t="shared" si="5"/>
        <v>0</v>
      </c>
      <c r="I23" s="22">
        <f>JULIO!I23+JULIO!J23</f>
        <v>0</v>
      </c>
      <c r="J23" s="27">
        <v>0</v>
      </c>
      <c r="K23" s="21">
        <f t="shared" si="6"/>
        <v>0</v>
      </c>
      <c r="L23" s="16">
        <v>0</v>
      </c>
      <c r="M23" s="25">
        <f t="shared" si="3"/>
        <v>0</v>
      </c>
      <c r="N23" s="26">
        <f>H23-K23</f>
        <v>0</v>
      </c>
      <c r="O23" s="18">
        <v>0</v>
      </c>
    </row>
    <row r="24" spans="1:15" s="72" customFormat="1" ht="27.75" customHeight="1" x14ac:dyDescent="0.2">
      <c r="A24" s="65" t="s">
        <v>47</v>
      </c>
      <c r="B24" s="66" t="s">
        <v>48</v>
      </c>
      <c r="C24" s="68">
        <f t="shared" ref="C24:G24" si="9">SUM(C25:C31)</f>
        <v>26200000</v>
      </c>
      <c r="D24" s="68">
        <f t="shared" si="9"/>
        <v>0</v>
      </c>
      <c r="E24" s="68">
        <f t="shared" si="9"/>
        <v>25000000</v>
      </c>
      <c r="F24" s="68">
        <f t="shared" si="9"/>
        <v>3800000</v>
      </c>
      <c r="G24" s="68">
        <f t="shared" si="9"/>
        <v>15884952</v>
      </c>
      <c r="H24" s="68">
        <f>SUM(H25:H31)</f>
        <v>39115048</v>
      </c>
      <c r="I24" s="68">
        <f t="shared" ref="I24:J24" si="10">SUM(I25:I31)</f>
        <v>29256989</v>
      </c>
      <c r="J24" s="68">
        <f t="shared" si="10"/>
        <v>0</v>
      </c>
      <c r="K24" s="68">
        <f t="shared" ref="K24" si="11">K25+K27+K29+K31</f>
        <v>21585000</v>
      </c>
      <c r="L24" s="69">
        <f t="shared" si="1"/>
        <v>0.55183365747116042</v>
      </c>
      <c r="M24" s="75">
        <f t="shared" si="3"/>
        <v>29256989</v>
      </c>
      <c r="N24" s="68">
        <f t="shared" ref="N24" si="12">SUM(N25:N31)</f>
        <v>9858059</v>
      </c>
      <c r="O24" s="71">
        <f t="shared" si="2"/>
        <v>0.25202727604987218</v>
      </c>
    </row>
    <row r="25" spans="1:15" ht="15" x14ac:dyDescent="0.25">
      <c r="A25" s="19" t="s">
        <v>49</v>
      </c>
      <c r="B25" s="33" t="s">
        <v>50</v>
      </c>
      <c r="C25" s="31">
        <v>0</v>
      </c>
      <c r="D25" s="22"/>
      <c r="E25" s="23"/>
      <c r="F25" s="36">
        <v>2000000</v>
      </c>
      <c r="G25" s="63"/>
      <c r="H25" s="21">
        <f t="shared" ref="H25:H31" si="13">C25-D25+E25+F25-G25</f>
        <v>2000000</v>
      </c>
      <c r="I25" s="22">
        <f>JULIO!I25+JULIO!J25</f>
        <v>1585000</v>
      </c>
      <c r="J25" s="27">
        <v>0</v>
      </c>
      <c r="K25" s="21">
        <f t="shared" ref="K25:K67" si="14">SUM(I25:J25)</f>
        <v>1585000</v>
      </c>
      <c r="L25" s="16">
        <v>0</v>
      </c>
      <c r="M25" s="17">
        <f t="shared" si="3"/>
        <v>1585000</v>
      </c>
      <c r="N25" s="26">
        <f t="shared" ref="N25:N31" si="15">H25-K25</f>
        <v>415000</v>
      </c>
      <c r="O25" s="18">
        <v>0</v>
      </c>
    </row>
    <row r="26" spans="1:15" ht="15" x14ac:dyDescent="0.25">
      <c r="A26" s="19">
        <v>45</v>
      </c>
      <c r="B26" s="33" t="s">
        <v>50</v>
      </c>
      <c r="C26" s="31">
        <v>0</v>
      </c>
      <c r="D26" s="22"/>
      <c r="E26" s="23"/>
      <c r="F26" s="36">
        <v>1000000</v>
      </c>
      <c r="G26" s="63"/>
      <c r="H26" s="21">
        <f t="shared" si="13"/>
        <v>1000000</v>
      </c>
      <c r="I26" s="22">
        <f>JULIO!I26+JULIO!J26</f>
        <v>0</v>
      </c>
      <c r="J26" s="27">
        <v>0</v>
      </c>
      <c r="K26" s="21"/>
      <c r="L26" s="16">
        <v>0</v>
      </c>
      <c r="M26" s="17">
        <f t="shared" si="3"/>
        <v>0</v>
      </c>
      <c r="N26" s="26">
        <f t="shared" si="15"/>
        <v>1000000</v>
      </c>
      <c r="O26" s="18">
        <v>0</v>
      </c>
    </row>
    <row r="27" spans="1:15" ht="15" x14ac:dyDescent="0.25">
      <c r="A27" s="19" t="s">
        <v>51</v>
      </c>
      <c r="B27" s="34" t="s">
        <v>52</v>
      </c>
      <c r="C27" s="31">
        <v>25000000</v>
      </c>
      <c r="D27" s="22"/>
      <c r="E27" s="23">
        <v>0</v>
      </c>
      <c r="F27" s="36"/>
      <c r="G27" s="63">
        <v>5000000</v>
      </c>
      <c r="H27" s="21">
        <f t="shared" si="13"/>
        <v>20000000</v>
      </c>
      <c r="I27" s="22">
        <f>JULIO!I27+JULIO!J27</f>
        <v>20000000</v>
      </c>
      <c r="J27" s="22"/>
      <c r="K27" s="21">
        <f t="shared" si="14"/>
        <v>20000000</v>
      </c>
      <c r="L27" s="16">
        <f t="shared" si="1"/>
        <v>1</v>
      </c>
      <c r="M27" s="25">
        <f t="shared" si="3"/>
        <v>20000000</v>
      </c>
      <c r="N27" s="26">
        <f t="shared" si="15"/>
        <v>0</v>
      </c>
      <c r="O27" s="35">
        <f t="shared" si="2"/>
        <v>0</v>
      </c>
    </row>
    <row r="28" spans="1:15" ht="15" x14ac:dyDescent="0.25">
      <c r="A28" s="19">
        <v>45</v>
      </c>
      <c r="B28" s="34" t="s">
        <v>52</v>
      </c>
      <c r="C28" s="31"/>
      <c r="D28" s="22"/>
      <c r="E28" s="23">
        <v>25000000</v>
      </c>
      <c r="F28" s="36"/>
      <c r="G28" s="63">
        <f>9280000+1604952</f>
        <v>10884952</v>
      </c>
      <c r="H28" s="21">
        <f t="shared" si="13"/>
        <v>14115048</v>
      </c>
      <c r="I28" s="22">
        <f>JULIO!I28+JULIO!J28</f>
        <v>7671989</v>
      </c>
      <c r="J28" s="22">
        <v>0</v>
      </c>
      <c r="K28" s="21">
        <f t="shared" si="14"/>
        <v>7671989</v>
      </c>
      <c r="L28" s="16"/>
      <c r="M28" s="25">
        <f t="shared" si="3"/>
        <v>7671989</v>
      </c>
      <c r="N28" s="26">
        <f t="shared" si="15"/>
        <v>6443059</v>
      </c>
      <c r="O28" s="35">
        <f t="shared" si="2"/>
        <v>0.45646738147826349</v>
      </c>
    </row>
    <row r="29" spans="1:15" ht="15" x14ac:dyDescent="0.25">
      <c r="A29" s="19" t="s">
        <v>53</v>
      </c>
      <c r="B29" s="33" t="s">
        <v>54</v>
      </c>
      <c r="C29" s="32">
        <v>1200000</v>
      </c>
      <c r="D29" s="22"/>
      <c r="E29" s="23"/>
      <c r="F29" s="36"/>
      <c r="G29" s="64"/>
      <c r="H29" s="21">
        <f t="shared" si="13"/>
        <v>1200000</v>
      </c>
      <c r="I29" s="22">
        <f>JULIO!I29+JULIO!J29</f>
        <v>0</v>
      </c>
      <c r="J29" s="22">
        <v>0</v>
      </c>
      <c r="K29" s="21">
        <f t="shared" si="14"/>
        <v>0</v>
      </c>
      <c r="L29" s="16">
        <f t="shared" si="1"/>
        <v>0</v>
      </c>
      <c r="M29" s="17">
        <f t="shared" si="3"/>
        <v>0</v>
      </c>
      <c r="N29" s="26">
        <f t="shared" si="15"/>
        <v>1200000</v>
      </c>
      <c r="O29" s="35">
        <f>N29/H29</f>
        <v>1</v>
      </c>
    </row>
    <row r="30" spans="1:15" ht="15" x14ac:dyDescent="0.25">
      <c r="A30" s="19">
        <v>45</v>
      </c>
      <c r="B30" s="33" t="s">
        <v>54</v>
      </c>
      <c r="C30" s="32">
        <v>0</v>
      </c>
      <c r="D30" s="22"/>
      <c r="E30" s="23"/>
      <c r="F30" s="36">
        <v>800000</v>
      </c>
      <c r="G30" s="64"/>
      <c r="H30" s="21">
        <f t="shared" si="13"/>
        <v>800000</v>
      </c>
      <c r="I30" s="22">
        <f>JULIO!I30+JULIO!J30</f>
        <v>0</v>
      </c>
      <c r="J30" s="22">
        <v>0</v>
      </c>
      <c r="K30" s="21"/>
      <c r="L30" s="16"/>
      <c r="M30" s="17">
        <f t="shared" si="3"/>
        <v>0</v>
      </c>
      <c r="N30" s="26">
        <f t="shared" si="15"/>
        <v>800000</v>
      </c>
      <c r="O30" s="35">
        <f>N30/H30</f>
        <v>1</v>
      </c>
    </row>
    <row r="31" spans="1:15" ht="15" x14ac:dyDescent="0.25">
      <c r="A31" s="19" t="s">
        <v>55</v>
      </c>
      <c r="B31" s="33" t="s">
        <v>56</v>
      </c>
      <c r="C31" s="32">
        <v>0</v>
      </c>
      <c r="D31" s="22"/>
      <c r="E31" s="23"/>
      <c r="F31" s="36"/>
      <c r="G31" s="63"/>
      <c r="H31" s="21">
        <f t="shared" si="13"/>
        <v>0</v>
      </c>
      <c r="I31" s="22">
        <f>JULIO!I31+JULIO!J31</f>
        <v>0</v>
      </c>
      <c r="J31" s="22"/>
      <c r="K31" s="21">
        <f t="shared" si="14"/>
        <v>0</v>
      </c>
      <c r="L31" s="16">
        <v>0</v>
      </c>
      <c r="M31" s="17">
        <f t="shared" si="3"/>
        <v>0</v>
      </c>
      <c r="N31" s="26">
        <f t="shared" si="15"/>
        <v>0</v>
      </c>
      <c r="O31" s="35">
        <v>0</v>
      </c>
    </row>
    <row r="32" spans="1:15" s="72" customFormat="1" ht="27.75" customHeight="1" x14ac:dyDescent="0.2">
      <c r="A32" s="65" t="s">
        <v>57</v>
      </c>
      <c r="B32" s="66" t="s">
        <v>58</v>
      </c>
      <c r="C32" s="68">
        <f t="shared" ref="C32:J32" si="16">SUM(C33:C51)</f>
        <v>119922165</v>
      </c>
      <c r="D32" s="68">
        <f t="shared" si="16"/>
        <v>0</v>
      </c>
      <c r="E32" s="68">
        <f t="shared" si="16"/>
        <v>47431604</v>
      </c>
      <c r="F32" s="68">
        <f t="shared" si="16"/>
        <v>38893445</v>
      </c>
      <c r="G32" s="68">
        <f t="shared" si="16"/>
        <v>23600000</v>
      </c>
      <c r="H32" s="68">
        <f t="shared" si="16"/>
        <v>182647214</v>
      </c>
      <c r="I32" s="68">
        <f t="shared" si="16"/>
        <v>113450166</v>
      </c>
      <c r="J32" s="68">
        <f t="shared" si="16"/>
        <v>38371405</v>
      </c>
      <c r="K32" s="68">
        <f>K33+K35+K37+K38+K39+K40+K41+K42+K43+K45+K46+K47+K48</f>
        <v>117059821</v>
      </c>
      <c r="L32" s="69">
        <f t="shared" si="1"/>
        <v>0.64090668801550954</v>
      </c>
      <c r="M32" s="70">
        <f>I32+J32</f>
        <v>151821571</v>
      </c>
      <c r="N32" s="75">
        <f>SUM(N33:N51)</f>
        <v>30825643</v>
      </c>
      <c r="O32" s="71">
        <f t="shared" si="2"/>
        <v>0.16877149300508903</v>
      </c>
    </row>
    <row r="33" spans="1:15" ht="15" x14ac:dyDescent="0.25">
      <c r="A33" s="19" t="s">
        <v>59</v>
      </c>
      <c r="B33" s="33" t="s">
        <v>60</v>
      </c>
      <c r="C33" s="31">
        <v>10000000</v>
      </c>
      <c r="D33" s="22"/>
      <c r="E33" s="23">
        <v>0</v>
      </c>
      <c r="F33" s="36">
        <v>2500000</v>
      </c>
      <c r="G33" s="63"/>
      <c r="H33" s="21">
        <f t="shared" ref="H33:H51" si="17">C33-D33+E33+F33-G33</f>
        <v>12500000</v>
      </c>
      <c r="I33" s="22">
        <f>JULIO!I33+JULIO!J33</f>
        <v>12500000</v>
      </c>
      <c r="J33" s="22">
        <v>0</v>
      </c>
      <c r="K33" s="21">
        <f t="shared" si="14"/>
        <v>12500000</v>
      </c>
      <c r="L33" s="16">
        <f t="shared" si="1"/>
        <v>1</v>
      </c>
      <c r="M33" s="25">
        <f t="shared" si="3"/>
        <v>12500000</v>
      </c>
      <c r="N33" s="26">
        <f t="shared" ref="N33:N47" si="18">H33-K33</f>
        <v>0</v>
      </c>
      <c r="O33" s="35">
        <f t="shared" si="2"/>
        <v>0</v>
      </c>
    </row>
    <row r="34" spans="1:15" ht="15" x14ac:dyDescent="0.25">
      <c r="A34" s="19">
        <v>45</v>
      </c>
      <c r="B34" s="33" t="s">
        <v>60</v>
      </c>
      <c r="C34" s="31"/>
      <c r="D34" s="22"/>
      <c r="E34" s="23">
        <v>15000000</v>
      </c>
      <c r="F34" s="36"/>
      <c r="G34" s="63">
        <v>8000000</v>
      </c>
      <c r="H34" s="21">
        <f t="shared" si="17"/>
        <v>7000000</v>
      </c>
      <c r="I34" s="22">
        <f>JULIO!I34+JULIO!J34</f>
        <v>2070891</v>
      </c>
      <c r="J34" s="22">
        <v>0</v>
      </c>
      <c r="K34" s="21">
        <f t="shared" si="14"/>
        <v>2070891</v>
      </c>
      <c r="L34" s="16">
        <f t="shared" si="1"/>
        <v>0.29584157142857143</v>
      </c>
      <c r="M34" s="25">
        <f t="shared" si="3"/>
        <v>2070891</v>
      </c>
      <c r="N34" s="26">
        <f t="shared" si="18"/>
        <v>4929109</v>
      </c>
      <c r="O34" s="35">
        <f t="shared" si="2"/>
        <v>0.70415842857142852</v>
      </c>
    </row>
    <row r="35" spans="1:15" ht="15" x14ac:dyDescent="0.25">
      <c r="A35" s="19" t="s">
        <v>61</v>
      </c>
      <c r="B35" s="33" t="s">
        <v>62</v>
      </c>
      <c r="C35" s="31">
        <v>25000000</v>
      </c>
      <c r="D35" s="22"/>
      <c r="E35" s="23">
        <v>0</v>
      </c>
      <c r="F35" s="36">
        <f>30000000+5000000</f>
        <v>35000000</v>
      </c>
      <c r="G35" s="63"/>
      <c r="H35" s="21">
        <f t="shared" si="17"/>
        <v>60000000</v>
      </c>
      <c r="I35" s="22">
        <f>JULIO!I35+JULIO!J35</f>
        <v>60000000</v>
      </c>
      <c r="J35" s="22">
        <v>0</v>
      </c>
      <c r="K35" s="21">
        <f t="shared" si="14"/>
        <v>60000000</v>
      </c>
      <c r="L35" s="16">
        <f t="shared" si="1"/>
        <v>1</v>
      </c>
      <c r="M35" s="25">
        <f>J35+I35</f>
        <v>60000000</v>
      </c>
      <c r="N35" s="26">
        <f t="shared" si="18"/>
        <v>0</v>
      </c>
      <c r="O35" s="35">
        <f t="shared" si="2"/>
        <v>0</v>
      </c>
    </row>
    <row r="36" spans="1:15" ht="15" x14ac:dyDescent="0.25">
      <c r="A36" s="19">
        <v>45</v>
      </c>
      <c r="B36" s="33" t="s">
        <v>62</v>
      </c>
      <c r="C36" s="31"/>
      <c r="D36" s="22"/>
      <c r="E36" s="23">
        <v>32431604</v>
      </c>
      <c r="F36" s="36"/>
      <c r="G36" s="63"/>
      <c r="H36" s="21">
        <f t="shared" si="17"/>
        <v>32431604</v>
      </c>
      <c r="I36" s="22">
        <f>JULIO!I36+JULIO!J36</f>
        <v>15166448</v>
      </c>
      <c r="J36" s="22">
        <v>17010966</v>
      </c>
      <c r="K36" s="21">
        <f t="shared" si="14"/>
        <v>32177414</v>
      </c>
      <c r="L36" s="16">
        <f t="shared" si="1"/>
        <v>0.9921622747983726</v>
      </c>
      <c r="M36" s="25">
        <f>J36+I36</f>
        <v>32177414</v>
      </c>
      <c r="N36" s="26">
        <f t="shared" si="18"/>
        <v>254190</v>
      </c>
      <c r="O36" s="35">
        <f t="shared" si="2"/>
        <v>7.8377252016274008E-3</v>
      </c>
    </row>
    <row r="37" spans="1:15" ht="15" x14ac:dyDescent="0.25">
      <c r="A37" s="19" t="s">
        <v>63</v>
      </c>
      <c r="B37" s="33" t="s">
        <v>64</v>
      </c>
      <c r="C37" s="31">
        <v>4400000</v>
      </c>
      <c r="D37" s="22"/>
      <c r="E37" s="23"/>
      <c r="F37" s="36"/>
      <c r="G37" s="63">
        <v>2000000</v>
      </c>
      <c r="H37" s="21">
        <f t="shared" si="17"/>
        <v>2400000</v>
      </c>
      <c r="I37" s="22">
        <f>JULIO!I37+JULIO!J37</f>
        <v>1801000</v>
      </c>
      <c r="J37" s="43">
        <v>0</v>
      </c>
      <c r="K37" s="21">
        <f t="shared" si="14"/>
        <v>1801000</v>
      </c>
      <c r="L37" s="16">
        <f t="shared" si="1"/>
        <v>0.75041666666666662</v>
      </c>
      <c r="M37" s="25">
        <f t="shared" si="3"/>
        <v>1801000</v>
      </c>
      <c r="N37" s="26">
        <f t="shared" si="18"/>
        <v>599000</v>
      </c>
      <c r="O37" s="35">
        <f t="shared" si="2"/>
        <v>0.24958333333333332</v>
      </c>
    </row>
    <row r="38" spans="1:15" ht="15" x14ac:dyDescent="0.25">
      <c r="A38" s="19" t="s">
        <v>65</v>
      </c>
      <c r="B38" s="33" t="s">
        <v>66</v>
      </c>
      <c r="C38" s="32">
        <v>10000000</v>
      </c>
      <c r="D38" s="22"/>
      <c r="E38" s="23"/>
      <c r="F38" s="36"/>
      <c r="G38" s="63"/>
      <c r="H38" s="21">
        <f t="shared" si="17"/>
        <v>10000000</v>
      </c>
      <c r="I38" s="22">
        <f>JULIO!I38+JULIO!J38</f>
        <v>7042702</v>
      </c>
      <c r="J38" s="43">
        <v>424000</v>
      </c>
      <c r="K38" s="21">
        <f t="shared" si="14"/>
        <v>7466702</v>
      </c>
      <c r="L38" s="16">
        <f t="shared" si="1"/>
        <v>0.74667019999999995</v>
      </c>
      <c r="M38" s="25">
        <f t="shared" si="3"/>
        <v>7466702</v>
      </c>
      <c r="N38" s="26">
        <f t="shared" si="18"/>
        <v>2533298</v>
      </c>
      <c r="O38" s="18">
        <f t="shared" si="2"/>
        <v>0.25332979999999999</v>
      </c>
    </row>
    <row r="39" spans="1:15" ht="15" x14ac:dyDescent="0.25">
      <c r="A39" s="19" t="s">
        <v>67</v>
      </c>
      <c r="B39" s="33" t="s">
        <v>68</v>
      </c>
      <c r="C39" s="32">
        <v>4800000</v>
      </c>
      <c r="D39" s="22"/>
      <c r="E39" s="23"/>
      <c r="F39" s="36"/>
      <c r="G39" s="63"/>
      <c r="H39" s="21">
        <f t="shared" si="17"/>
        <v>4800000</v>
      </c>
      <c r="I39" s="22">
        <f>JULIO!I39+JULIO!J39</f>
        <v>3735235</v>
      </c>
      <c r="J39" s="43">
        <v>422994</v>
      </c>
      <c r="K39" s="21">
        <f t="shared" si="14"/>
        <v>4158229</v>
      </c>
      <c r="L39" s="16">
        <f t="shared" si="1"/>
        <v>0.86629770833333331</v>
      </c>
      <c r="M39" s="25">
        <f t="shared" si="3"/>
        <v>4158229</v>
      </c>
      <c r="N39" s="26">
        <f t="shared" si="18"/>
        <v>641771</v>
      </c>
      <c r="O39" s="18">
        <f t="shared" si="2"/>
        <v>0.13370229166666667</v>
      </c>
    </row>
    <row r="40" spans="1:15" ht="15" x14ac:dyDescent="0.25">
      <c r="A40" s="19" t="s">
        <v>69</v>
      </c>
      <c r="B40" s="33" t="s">
        <v>70</v>
      </c>
      <c r="C40" s="32">
        <v>3200000</v>
      </c>
      <c r="D40" s="22"/>
      <c r="E40" s="23"/>
      <c r="F40" s="36"/>
      <c r="G40" s="63"/>
      <c r="H40" s="21">
        <f t="shared" si="17"/>
        <v>3200000</v>
      </c>
      <c r="I40" s="22">
        <f>JULIO!I40+JULIO!J40</f>
        <v>735890</v>
      </c>
      <c r="J40" s="27">
        <v>0</v>
      </c>
      <c r="K40" s="21">
        <f t="shared" si="14"/>
        <v>735890</v>
      </c>
      <c r="L40" s="16">
        <f t="shared" si="1"/>
        <v>0.22996562500000001</v>
      </c>
      <c r="M40" s="25">
        <f t="shared" si="3"/>
        <v>735890</v>
      </c>
      <c r="N40" s="26">
        <f t="shared" si="18"/>
        <v>2464110</v>
      </c>
      <c r="O40" s="18">
        <v>0</v>
      </c>
    </row>
    <row r="41" spans="1:15" ht="15" x14ac:dyDescent="0.25">
      <c r="A41" s="19" t="s">
        <v>71</v>
      </c>
      <c r="B41" s="34" t="s">
        <v>72</v>
      </c>
      <c r="C41" s="32">
        <v>3822165</v>
      </c>
      <c r="D41" s="22"/>
      <c r="E41" s="23"/>
      <c r="F41" s="36"/>
      <c r="G41" s="63"/>
      <c r="H41" s="21">
        <f t="shared" si="17"/>
        <v>3822165</v>
      </c>
      <c r="I41" s="22">
        <f>JULIO!I41+JULIO!J41</f>
        <v>0</v>
      </c>
      <c r="J41" s="22">
        <v>0</v>
      </c>
      <c r="K41" s="21">
        <f t="shared" si="14"/>
        <v>0</v>
      </c>
      <c r="L41" s="16">
        <f t="shared" si="1"/>
        <v>0</v>
      </c>
      <c r="M41" s="25">
        <f t="shared" si="3"/>
        <v>0</v>
      </c>
      <c r="N41" s="26">
        <f t="shared" si="18"/>
        <v>3822165</v>
      </c>
      <c r="O41" s="18">
        <f t="shared" ref="O41:O71" si="19">N41/H41</f>
        <v>1</v>
      </c>
    </row>
    <row r="42" spans="1:15" ht="15" x14ac:dyDescent="0.25">
      <c r="A42" s="19" t="s">
        <v>73</v>
      </c>
      <c r="B42" s="33" t="s">
        <v>74</v>
      </c>
      <c r="C42" s="32">
        <v>0</v>
      </c>
      <c r="D42" s="22"/>
      <c r="E42" s="23"/>
      <c r="F42" s="38"/>
      <c r="G42" s="63"/>
      <c r="H42" s="21">
        <f t="shared" si="17"/>
        <v>0</v>
      </c>
      <c r="I42" s="22">
        <f>JULIO!I42+JULIO!J42</f>
        <v>0</v>
      </c>
      <c r="J42" s="22">
        <v>0</v>
      </c>
      <c r="K42" s="21">
        <f t="shared" si="14"/>
        <v>0</v>
      </c>
      <c r="L42" s="16">
        <v>0</v>
      </c>
      <c r="M42" s="25">
        <f t="shared" si="3"/>
        <v>0</v>
      </c>
      <c r="N42" s="26">
        <f t="shared" si="18"/>
        <v>0</v>
      </c>
      <c r="O42" s="18">
        <v>0</v>
      </c>
    </row>
    <row r="43" spans="1:15" ht="15" x14ac:dyDescent="0.25">
      <c r="A43" s="19" t="s">
        <v>75</v>
      </c>
      <c r="B43" s="33" t="s">
        <v>76</v>
      </c>
      <c r="C43" s="32">
        <v>11000000</v>
      </c>
      <c r="D43" s="22"/>
      <c r="E43" s="23"/>
      <c r="F43" s="36"/>
      <c r="G43" s="63">
        <v>3600000</v>
      </c>
      <c r="H43" s="21">
        <f t="shared" si="17"/>
        <v>7400000</v>
      </c>
      <c r="I43" s="22">
        <f>JULIO!I43+JULIO!J43</f>
        <v>7400000</v>
      </c>
      <c r="J43" s="45">
        <v>0</v>
      </c>
      <c r="K43" s="21">
        <f t="shared" si="14"/>
        <v>7400000</v>
      </c>
      <c r="L43" s="16">
        <f t="shared" si="1"/>
        <v>1</v>
      </c>
      <c r="M43" s="25">
        <f t="shared" si="3"/>
        <v>7400000</v>
      </c>
      <c r="N43" s="26">
        <f t="shared" si="18"/>
        <v>0</v>
      </c>
      <c r="O43" s="18">
        <f t="shared" si="19"/>
        <v>0</v>
      </c>
    </row>
    <row r="44" spans="1:15" ht="15" x14ac:dyDescent="0.25">
      <c r="A44" s="19">
        <v>45</v>
      </c>
      <c r="B44" s="33" t="s">
        <v>76</v>
      </c>
      <c r="C44" s="32">
        <v>0</v>
      </c>
      <c r="D44" s="22"/>
      <c r="E44" s="23"/>
      <c r="F44" s="36">
        <v>513445</v>
      </c>
      <c r="G44" s="63"/>
      <c r="H44" s="21">
        <f t="shared" si="17"/>
        <v>513445</v>
      </c>
      <c r="I44" s="22">
        <f>JULIO!I44+JULIO!J44</f>
        <v>0</v>
      </c>
      <c r="J44" s="45">
        <v>513445</v>
      </c>
      <c r="K44" s="21">
        <f t="shared" si="14"/>
        <v>513445</v>
      </c>
      <c r="L44" s="16">
        <f t="shared" si="1"/>
        <v>1</v>
      </c>
      <c r="M44" s="25">
        <f t="shared" si="3"/>
        <v>513445</v>
      </c>
      <c r="N44" s="26">
        <f t="shared" si="18"/>
        <v>0</v>
      </c>
      <c r="O44" s="18">
        <f t="shared" si="19"/>
        <v>0</v>
      </c>
    </row>
    <row r="45" spans="1:15" ht="15" x14ac:dyDescent="0.25">
      <c r="A45" s="19" t="s">
        <v>77</v>
      </c>
      <c r="B45" s="34" t="s">
        <v>78</v>
      </c>
      <c r="C45" s="32">
        <v>20700000</v>
      </c>
      <c r="D45" s="22"/>
      <c r="E45" s="23"/>
      <c r="F45" s="36"/>
      <c r="G45" s="63">
        <v>10000000</v>
      </c>
      <c r="H45" s="21">
        <f t="shared" si="17"/>
        <v>10700000</v>
      </c>
      <c r="I45" s="22">
        <f>JULIO!I45+JULIO!J45</f>
        <v>0</v>
      </c>
      <c r="J45" s="45">
        <v>0</v>
      </c>
      <c r="K45" s="21">
        <f t="shared" si="14"/>
        <v>0</v>
      </c>
      <c r="L45" s="16">
        <f t="shared" si="1"/>
        <v>0</v>
      </c>
      <c r="M45" s="25">
        <f t="shared" si="3"/>
        <v>0</v>
      </c>
      <c r="N45" s="26">
        <f t="shared" si="18"/>
        <v>10700000</v>
      </c>
      <c r="O45" s="35">
        <f t="shared" si="19"/>
        <v>1</v>
      </c>
    </row>
    <row r="46" spans="1:15" ht="15" x14ac:dyDescent="0.25">
      <c r="A46" s="19" t="s">
        <v>79</v>
      </c>
      <c r="B46" s="33" t="s">
        <v>80</v>
      </c>
      <c r="C46" s="32">
        <v>3000000</v>
      </c>
      <c r="D46" s="22"/>
      <c r="E46" s="23"/>
      <c r="F46" s="36"/>
      <c r="G46" s="63"/>
      <c r="H46" s="21">
        <f t="shared" si="17"/>
        <v>3000000</v>
      </c>
      <c r="I46" s="22">
        <f>JULIO!I46+JULIO!J46</f>
        <v>2998000</v>
      </c>
      <c r="J46" s="45">
        <v>0</v>
      </c>
      <c r="K46" s="21">
        <f t="shared" si="14"/>
        <v>2998000</v>
      </c>
      <c r="L46" s="16">
        <f t="shared" si="1"/>
        <v>0.9993333333333333</v>
      </c>
      <c r="M46" s="25">
        <f t="shared" si="3"/>
        <v>2998000</v>
      </c>
      <c r="N46" s="26">
        <f t="shared" si="18"/>
        <v>2000</v>
      </c>
      <c r="O46" s="35">
        <f t="shared" si="19"/>
        <v>6.6666666666666664E-4</v>
      </c>
    </row>
    <row r="47" spans="1:15" ht="15" x14ac:dyDescent="0.25">
      <c r="A47" s="19" t="s">
        <v>81</v>
      </c>
      <c r="B47" s="33" t="s">
        <v>82</v>
      </c>
      <c r="C47" s="32">
        <v>20000000</v>
      </c>
      <c r="D47" s="22"/>
      <c r="E47" s="23"/>
      <c r="F47" s="36"/>
      <c r="G47" s="63"/>
      <c r="H47" s="21">
        <f t="shared" si="17"/>
        <v>20000000</v>
      </c>
      <c r="I47" s="22">
        <f>JULIO!I47+JULIO!J47</f>
        <v>0</v>
      </c>
      <c r="J47" s="22">
        <v>20000000</v>
      </c>
      <c r="K47" s="21">
        <f t="shared" si="14"/>
        <v>20000000</v>
      </c>
      <c r="L47" s="16">
        <f t="shared" si="1"/>
        <v>1</v>
      </c>
      <c r="M47" s="25">
        <f t="shared" si="3"/>
        <v>20000000</v>
      </c>
      <c r="N47" s="26">
        <f t="shared" si="18"/>
        <v>0</v>
      </c>
      <c r="O47" s="18">
        <f t="shared" si="19"/>
        <v>0</v>
      </c>
    </row>
    <row r="48" spans="1:15" ht="15" x14ac:dyDescent="0.25">
      <c r="A48" s="19" t="s">
        <v>83</v>
      </c>
      <c r="B48" s="33" t="s">
        <v>84</v>
      </c>
      <c r="C48" s="32">
        <v>4000000</v>
      </c>
      <c r="D48" s="22"/>
      <c r="E48" s="23"/>
      <c r="F48" s="36"/>
      <c r="G48" s="63"/>
      <c r="H48" s="21">
        <f t="shared" si="17"/>
        <v>4000000</v>
      </c>
      <c r="I48" s="22">
        <f>JULIO!I48+JULIO!J48</f>
        <v>0</v>
      </c>
      <c r="J48" s="22">
        <v>0</v>
      </c>
      <c r="K48" s="21">
        <f t="shared" si="14"/>
        <v>0</v>
      </c>
      <c r="L48" s="16">
        <f>K48/H48</f>
        <v>0</v>
      </c>
      <c r="M48" s="25">
        <f t="shared" si="3"/>
        <v>0</v>
      </c>
      <c r="N48" s="26">
        <f>H48-K48</f>
        <v>4000000</v>
      </c>
      <c r="O48" s="18">
        <f t="shared" si="19"/>
        <v>1</v>
      </c>
    </row>
    <row r="49" spans="1:17" ht="15" x14ac:dyDescent="0.25">
      <c r="A49" s="19" t="s">
        <v>85</v>
      </c>
      <c r="B49" s="33" t="s">
        <v>86</v>
      </c>
      <c r="C49" s="32">
        <v>0</v>
      </c>
      <c r="D49" s="22"/>
      <c r="E49" s="23"/>
      <c r="F49" s="36"/>
      <c r="G49" s="63"/>
      <c r="H49" s="21">
        <f t="shared" si="17"/>
        <v>0</v>
      </c>
      <c r="I49" s="22">
        <f>JULIO!I49+JULIO!J49</f>
        <v>0</v>
      </c>
      <c r="J49" s="22">
        <v>0</v>
      </c>
      <c r="K49" s="21">
        <f t="shared" si="14"/>
        <v>0</v>
      </c>
      <c r="L49" s="16">
        <v>0</v>
      </c>
      <c r="M49" s="25">
        <f t="shared" si="3"/>
        <v>0</v>
      </c>
      <c r="N49" s="26">
        <f>H49-K49</f>
        <v>0</v>
      </c>
      <c r="O49" s="18">
        <v>0</v>
      </c>
    </row>
    <row r="50" spans="1:17" ht="15" x14ac:dyDescent="0.25">
      <c r="A50" s="183">
        <v>2020120215</v>
      </c>
      <c r="B50" s="33" t="s">
        <v>126</v>
      </c>
      <c r="C50" s="182">
        <v>0</v>
      </c>
      <c r="D50" s="22"/>
      <c r="E50" s="23"/>
      <c r="F50" s="36">
        <v>0</v>
      </c>
      <c r="G50" s="63"/>
      <c r="H50" s="21">
        <f t="shared" si="17"/>
        <v>0</v>
      </c>
      <c r="I50" s="22">
        <f>JULIO!I50+JULIO!J50</f>
        <v>0</v>
      </c>
      <c r="J50" s="22">
        <v>0</v>
      </c>
      <c r="K50" s="21">
        <f t="shared" si="14"/>
        <v>0</v>
      </c>
      <c r="L50" s="16">
        <v>0</v>
      </c>
      <c r="M50" s="25">
        <f t="shared" si="3"/>
        <v>0</v>
      </c>
      <c r="N50" s="26">
        <f>H50-K50</f>
        <v>0</v>
      </c>
      <c r="O50" s="18">
        <v>0</v>
      </c>
    </row>
    <row r="51" spans="1:17" ht="15" x14ac:dyDescent="0.25">
      <c r="A51" s="183">
        <v>45</v>
      </c>
      <c r="B51" s="33" t="s">
        <v>126</v>
      </c>
      <c r="C51" s="182">
        <v>0</v>
      </c>
      <c r="D51" s="22"/>
      <c r="E51" s="23"/>
      <c r="F51" s="36">
        <v>880000</v>
      </c>
      <c r="G51" s="63"/>
      <c r="H51" s="21">
        <f t="shared" si="17"/>
        <v>880000</v>
      </c>
      <c r="I51" s="22">
        <f>JULIO!I51+JULIO!J51</f>
        <v>0</v>
      </c>
      <c r="J51" s="22">
        <v>0</v>
      </c>
      <c r="K51" s="21">
        <f t="shared" si="14"/>
        <v>0</v>
      </c>
      <c r="L51" s="16">
        <v>0</v>
      </c>
      <c r="M51" s="25">
        <f t="shared" si="3"/>
        <v>0</v>
      </c>
      <c r="N51" s="26">
        <f>H51-K51</f>
        <v>880000</v>
      </c>
      <c r="O51" s="18">
        <v>0</v>
      </c>
    </row>
    <row r="52" spans="1:17" s="72" customFormat="1" ht="27.75" customHeight="1" x14ac:dyDescent="0.2">
      <c r="A52" s="65" t="s">
        <v>87</v>
      </c>
      <c r="B52" s="82" t="s">
        <v>88</v>
      </c>
      <c r="C52" s="73">
        <f>SUM(C53:C56)</f>
        <v>115800000</v>
      </c>
      <c r="D52" s="73">
        <f t="shared" ref="D52:J52" si="20">SUM(D53:D56)</f>
        <v>0</v>
      </c>
      <c r="E52" s="73">
        <f t="shared" si="20"/>
        <v>0</v>
      </c>
      <c r="F52" s="73">
        <f t="shared" si="20"/>
        <v>0</v>
      </c>
      <c r="G52" s="73">
        <f t="shared" si="20"/>
        <v>0</v>
      </c>
      <c r="H52" s="73">
        <f t="shared" si="20"/>
        <v>115800000</v>
      </c>
      <c r="I52" s="73">
        <f t="shared" si="20"/>
        <v>59810350</v>
      </c>
      <c r="J52" s="73">
        <f t="shared" si="20"/>
        <v>7092477</v>
      </c>
      <c r="K52" s="68">
        <f t="shared" ref="K52" si="21">K53+K54+K55+K56</f>
        <v>66902827</v>
      </c>
      <c r="L52" s="69">
        <f t="shared" si="1"/>
        <v>0.5777446200345423</v>
      </c>
      <c r="M52" s="73">
        <f t="shared" si="3"/>
        <v>66902827</v>
      </c>
      <c r="N52" s="73">
        <f t="shared" ref="N52" si="22">SUM(N53:N56)</f>
        <v>48897173</v>
      </c>
      <c r="O52" s="71">
        <f t="shared" si="19"/>
        <v>0.4222553799654577</v>
      </c>
    </row>
    <row r="53" spans="1:17" ht="15" x14ac:dyDescent="0.25">
      <c r="A53" s="19" t="s">
        <v>89</v>
      </c>
      <c r="B53" s="33" t="s">
        <v>90</v>
      </c>
      <c r="C53" s="21">
        <v>33000000</v>
      </c>
      <c r="D53" s="22"/>
      <c r="E53" s="23"/>
      <c r="F53" s="36"/>
      <c r="G53" s="63"/>
      <c r="H53" s="21">
        <f>C53-D53+E53+F53-G53</f>
        <v>33000000</v>
      </c>
      <c r="I53" s="22">
        <f>JULIO!I53+JULIO!J53</f>
        <v>2092310</v>
      </c>
      <c r="J53" s="44">
        <v>0</v>
      </c>
      <c r="K53" s="21">
        <f t="shared" si="14"/>
        <v>2092310</v>
      </c>
      <c r="L53" s="16">
        <f t="shared" si="1"/>
        <v>6.3403333333333339E-2</v>
      </c>
      <c r="M53" s="25">
        <f t="shared" si="3"/>
        <v>2092310</v>
      </c>
      <c r="N53" s="26">
        <f>H53-K53</f>
        <v>30907690</v>
      </c>
      <c r="O53" s="18">
        <f t="shared" si="19"/>
        <v>0.93659666666666663</v>
      </c>
    </row>
    <row r="54" spans="1:17" ht="15" x14ac:dyDescent="0.25">
      <c r="A54" s="19" t="s">
        <v>91</v>
      </c>
      <c r="B54" s="33" t="s">
        <v>92</v>
      </c>
      <c r="C54" s="21">
        <v>38000000</v>
      </c>
      <c r="D54" s="22"/>
      <c r="E54" s="23"/>
      <c r="F54" s="36"/>
      <c r="G54" s="63"/>
      <c r="H54" s="21">
        <f>C54-D54+E54+F54-G54</f>
        <v>38000000</v>
      </c>
      <c r="I54" s="22">
        <f>JULIO!I54+JULIO!J54</f>
        <v>23607812</v>
      </c>
      <c r="J54" s="43">
        <v>3839193</v>
      </c>
      <c r="K54" s="21">
        <f t="shared" si="14"/>
        <v>27447005</v>
      </c>
      <c r="L54" s="16">
        <f t="shared" si="1"/>
        <v>0.72228960526315789</v>
      </c>
      <c r="M54" s="25">
        <f t="shared" si="3"/>
        <v>27447005</v>
      </c>
      <c r="N54" s="26">
        <f>H54-K54</f>
        <v>10552995</v>
      </c>
      <c r="O54" s="18">
        <f t="shared" si="19"/>
        <v>0.27771039473684211</v>
      </c>
      <c r="Q54" s="37"/>
    </row>
    <row r="55" spans="1:17" ht="15" x14ac:dyDescent="0.25">
      <c r="A55" s="28">
        <v>2020110304</v>
      </c>
      <c r="B55" s="33" t="s">
        <v>93</v>
      </c>
      <c r="C55" s="21">
        <v>36800000</v>
      </c>
      <c r="D55" s="22"/>
      <c r="E55" s="23"/>
      <c r="F55" s="36"/>
      <c r="G55" s="63"/>
      <c r="H55" s="21">
        <f>C55-D55+E55+F55-G55</f>
        <v>36800000</v>
      </c>
      <c r="I55" s="22">
        <f>JULIO!I55+JULIO!J55</f>
        <v>33546716</v>
      </c>
      <c r="J55" s="43">
        <v>3253284</v>
      </c>
      <c r="K55" s="21">
        <f t="shared" si="14"/>
        <v>36800000</v>
      </c>
      <c r="L55" s="16">
        <f t="shared" si="1"/>
        <v>1</v>
      </c>
      <c r="M55" s="25">
        <f t="shared" si="3"/>
        <v>36800000</v>
      </c>
      <c r="N55" s="26">
        <f>H55-K55</f>
        <v>0</v>
      </c>
      <c r="O55" s="18">
        <f t="shared" si="19"/>
        <v>0</v>
      </c>
      <c r="Q55" s="37"/>
    </row>
    <row r="56" spans="1:17" ht="15" x14ac:dyDescent="0.25">
      <c r="A56" s="28">
        <v>2020110305</v>
      </c>
      <c r="B56" s="33" t="s">
        <v>94</v>
      </c>
      <c r="C56" s="21">
        <v>8000000</v>
      </c>
      <c r="D56" s="15"/>
      <c r="E56" s="23"/>
      <c r="F56" s="36"/>
      <c r="G56" s="46"/>
      <c r="H56" s="21">
        <f>C56-D56+E56+F56-G56</f>
        <v>8000000</v>
      </c>
      <c r="I56" s="22">
        <f>JULIO!I56+JULIO!J56</f>
        <v>563512</v>
      </c>
      <c r="J56" s="21">
        <v>0</v>
      </c>
      <c r="K56" s="21">
        <f t="shared" si="14"/>
        <v>563512</v>
      </c>
      <c r="L56" s="16">
        <f t="shared" si="1"/>
        <v>7.0439000000000002E-2</v>
      </c>
      <c r="M56" s="25">
        <f t="shared" si="3"/>
        <v>563512</v>
      </c>
      <c r="N56" s="26">
        <f>H56-K56</f>
        <v>7436488</v>
      </c>
      <c r="O56" s="18">
        <f t="shared" si="19"/>
        <v>0.92956099999999997</v>
      </c>
      <c r="Q56" s="37"/>
    </row>
    <row r="57" spans="1:17" s="72" customFormat="1" ht="27.75" customHeight="1" x14ac:dyDescent="0.2">
      <c r="A57" s="65">
        <v>20201104</v>
      </c>
      <c r="B57" s="83" t="s">
        <v>96</v>
      </c>
      <c r="C57" s="73">
        <f>SUM(C58:C67)</f>
        <v>100800000</v>
      </c>
      <c r="D57" s="73">
        <f t="shared" ref="D57:H57" si="23">SUM(D58:D67)</f>
        <v>0</v>
      </c>
      <c r="E57" s="73">
        <f t="shared" si="23"/>
        <v>0</v>
      </c>
      <c r="F57" s="73">
        <f t="shared" si="23"/>
        <v>0</v>
      </c>
      <c r="G57" s="73">
        <f t="shared" si="23"/>
        <v>0</v>
      </c>
      <c r="H57" s="73">
        <f t="shared" si="23"/>
        <v>100800000</v>
      </c>
      <c r="I57" s="68">
        <f>SUM(I58:I67)</f>
        <v>31234200</v>
      </c>
      <c r="J57" s="68">
        <f>SUM(J58:J67)</f>
        <v>6413712</v>
      </c>
      <c r="K57" s="68">
        <f t="shared" si="14"/>
        <v>37647912</v>
      </c>
      <c r="L57" s="69">
        <f t="shared" si="1"/>
        <v>0.37349119047619045</v>
      </c>
      <c r="M57" s="70">
        <f t="shared" si="3"/>
        <v>37647912</v>
      </c>
      <c r="N57" s="75">
        <f>SUM(N58:N67)</f>
        <v>63152088</v>
      </c>
      <c r="O57" s="71">
        <f t="shared" si="19"/>
        <v>0.6265088095238095</v>
      </c>
      <c r="Q57" s="79"/>
    </row>
    <row r="58" spans="1:17" ht="15" x14ac:dyDescent="0.25">
      <c r="A58" s="78" t="s">
        <v>97</v>
      </c>
      <c r="B58" s="33" t="s">
        <v>98</v>
      </c>
      <c r="C58" s="31">
        <v>21000000</v>
      </c>
      <c r="D58" s="22"/>
      <c r="E58" s="23"/>
      <c r="F58" s="36"/>
      <c r="G58" s="63"/>
      <c r="H58" s="21">
        <f t="shared" ref="H58:H70" si="24">C58-D58+E58+F58-G58</f>
        <v>21000000</v>
      </c>
      <c r="I58" s="22">
        <f>JULIO!I58+JULIO!J58</f>
        <v>4435100</v>
      </c>
      <c r="J58" s="27">
        <v>0</v>
      </c>
      <c r="K58" s="21">
        <f t="shared" si="14"/>
        <v>4435100</v>
      </c>
      <c r="L58" s="16">
        <f t="shared" si="1"/>
        <v>0.2111952380952381</v>
      </c>
      <c r="M58" s="25">
        <f t="shared" si="3"/>
        <v>4435100</v>
      </c>
      <c r="N58" s="26">
        <f t="shared" ref="N58:N70" si="25">H58-K58</f>
        <v>16564900</v>
      </c>
      <c r="O58" s="18">
        <f t="shared" si="19"/>
        <v>0.7888047619047619</v>
      </c>
      <c r="Q58" s="37"/>
    </row>
    <row r="59" spans="1:17" ht="15" x14ac:dyDescent="0.25">
      <c r="A59" s="19" t="s">
        <v>99</v>
      </c>
      <c r="B59" s="33" t="s">
        <v>92</v>
      </c>
      <c r="C59" s="31">
        <v>0</v>
      </c>
      <c r="D59" s="22"/>
      <c r="E59" s="23"/>
      <c r="F59" s="36"/>
      <c r="G59" s="63"/>
      <c r="H59" s="21">
        <f t="shared" si="24"/>
        <v>0</v>
      </c>
      <c r="I59" s="22">
        <f>JULIO!I59+JULIO!J59</f>
        <v>0</v>
      </c>
      <c r="J59" s="22">
        <v>0</v>
      </c>
      <c r="K59" s="21">
        <f t="shared" si="14"/>
        <v>0</v>
      </c>
      <c r="L59" s="16">
        <v>0</v>
      </c>
      <c r="M59" s="17">
        <f t="shared" si="3"/>
        <v>0</v>
      </c>
      <c r="N59" s="26">
        <f t="shared" si="25"/>
        <v>0</v>
      </c>
      <c r="O59" s="18">
        <v>0</v>
      </c>
      <c r="Q59" s="37"/>
    </row>
    <row r="60" spans="1:17" ht="15" x14ac:dyDescent="0.25">
      <c r="A60" s="19" t="s">
        <v>100</v>
      </c>
      <c r="B60" s="33" t="s">
        <v>101</v>
      </c>
      <c r="C60" s="31">
        <v>3000000</v>
      </c>
      <c r="D60" s="22"/>
      <c r="E60" s="23"/>
      <c r="F60" s="36"/>
      <c r="G60" s="63"/>
      <c r="H60" s="21">
        <f t="shared" si="24"/>
        <v>3000000</v>
      </c>
      <c r="I60" s="22">
        <f>JULIO!I60+JULIO!J60</f>
        <v>1848900</v>
      </c>
      <c r="J60" s="43">
        <v>250300</v>
      </c>
      <c r="K60" s="21">
        <f t="shared" si="14"/>
        <v>2099200</v>
      </c>
      <c r="L60" s="16">
        <f t="shared" si="1"/>
        <v>0.69973333333333332</v>
      </c>
      <c r="M60" s="25">
        <f t="shared" si="3"/>
        <v>2099200</v>
      </c>
      <c r="N60" s="26">
        <f t="shared" si="25"/>
        <v>900800</v>
      </c>
      <c r="O60" s="18">
        <f t="shared" si="19"/>
        <v>0.30026666666666668</v>
      </c>
      <c r="Q60" s="37"/>
    </row>
    <row r="61" spans="1:17" ht="15" x14ac:dyDescent="0.25">
      <c r="A61" s="19" t="s">
        <v>102</v>
      </c>
      <c r="B61" s="33" t="s">
        <v>93</v>
      </c>
      <c r="C61" s="32">
        <v>22000000</v>
      </c>
      <c r="D61" s="22"/>
      <c r="E61" s="23"/>
      <c r="F61" s="36"/>
      <c r="G61" s="63"/>
      <c r="H61" s="21">
        <f t="shared" si="24"/>
        <v>22000000</v>
      </c>
      <c r="I61" s="22">
        <f>JULIO!I61+JULIO!J61</f>
        <v>0</v>
      </c>
      <c r="J61" s="39">
        <v>2262512</v>
      </c>
      <c r="K61" s="21">
        <f t="shared" si="14"/>
        <v>2262512</v>
      </c>
      <c r="L61" s="16">
        <f t="shared" si="1"/>
        <v>0.10284145454545454</v>
      </c>
      <c r="M61" s="25">
        <f t="shared" si="3"/>
        <v>2262512</v>
      </c>
      <c r="N61" s="26">
        <f t="shared" si="25"/>
        <v>19737488</v>
      </c>
      <c r="O61" s="18">
        <f t="shared" si="19"/>
        <v>0.89715854545454543</v>
      </c>
      <c r="Q61" s="37"/>
    </row>
    <row r="62" spans="1:17" ht="15" x14ac:dyDescent="0.25">
      <c r="A62" s="19" t="s">
        <v>103</v>
      </c>
      <c r="B62" s="33" t="s">
        <v>104</v>
      </c>
      <c r="C62" s="32">
        <v>23000000</v>
      </c>
      <c r="D62" s="22"/>
      <c r="E62" s="23"/>
      <c r="F62" s="36"/>
      <c r="G62" s="63"/>
      <c r="H62" s="21">
        <f t="shared" si="24"/>
        <v>23000000</v>
      </c>
      <c r="I62" s="22">
        <f>JULIO!I62+JULIO!J62</f>
        <v>11110500</v>
      </c>
      <c r="J62" s="43">
        <v>1733000</v>
      </c>
      <c r="K62" s="21">
        <f t="shared" si="14"/>
        <v>12843500</v>
      </c>
      <c r="L62" s="16">
        <f t="shared" si="1"/>
        <v>0.55841304347826082</v>
      </c>
      <c r="M62" s="25">
        <f t="shared" si="3"/>
        <v>12843500</v>
      </c>
      <c r="N62" s="26">
        <f t="shared" si="25"/>
        <v>10156500</v>
      </c>
      <c r="O62" s="18">
        <f t="shared" si="19"/>
        <v>0.44158695652173913</v>
      </c>
      <c r="Q62" s="37"/>
    </row>
    <row r="63" spans="1:17" ht="15" x14ac:dyDescent="0.25">
      <c r="A63" s="19" t="s">
        <v>105</v>
      </c>
      <c r="B63" s="33" t="s">
        <v>106</v>
      </c>
      <c r="C63" s="32">
        <v>19800000</v>
      </c>
      <c r="D63" s="22"/>
      <c r="E63" s="23"/>
      <c r="F63" s="36"/>
      <c r="G63" s="63"/>
      <c r="H63" s="21">
        <f t="shared" si="24"/>
        <v>19800000</v>
      </c>
      <c r="I63" s="22">
        <f>JULIO!I63+JULIO!J63</f>
        <v>8334200</v>
      </c>
      <c r="J63" s="43">
        <v>1300000</v>
      </c>
      <c r="K63" s="21">
        <f t="shared" si="14"/>
        <v>9634200</v>
      </c>
      <c r="L63" s="16">
        <f t="shared" si="1"/>
        <v>0.48657575757575755</v>
      </c>
      <c r="M63" s="25">
        <f t="shared" si="3"/>
        <v>9634200</v>
      </c>
      <c r="N63" s="26">
        <f t="shared" si="25"/>
        <v>10165800</v>
      </c>
      <c r="O63" s="18">
        <f t="shared" si="19"/>
        <v>0.51342424242424245</v>
      </c>
      <c r="Q63" s="37"/>
    </row>
    <row r="64" spans="1:17" ht="15" x14ac:dyDescent="0.25">
      <c r="A64" s="19" t="s">
        <v>107</v>
      </c>
      <c r="B64" s="33" t="s">
        <v>108</v>
      </c>
      <c r="C64" s="32">
        <v>3000000</v>
      </c>
      <c r="D64" s="22"/>
      <c r="E64" s="23"/>
      <c r="F64" s="36"/>
      <c r="G64" s="63"/>
      <c r="H64" s="21">
        <f t="shared" si="24"/>
        <v>3000000</v>
      </c>
      <c r="I64" s="22">
        <f>JULIO!I64+JULIO!J64</f>
        <v>1372500</v>
      </c>
      <c r="J64" s="43">
        <v>217100</v>
      </c>
      <c r="K64" s="21">
        <f t="shared" si="14"/>
        <v>1589600</v>
      </c>
      <c r="L64" s="16">
        <f t="shared" si="1"/>
        <v>0.52986666666666671</v>
      </c>
      <c r="M64" s="25">
        <f t="shared" si="3"/>
        <v>1589600</v>
      </c>
      <c r="N64" s="26">
        <f t="shared" si="25"/>
        <v>1410400</v>
      </c>
      <c r="O64" s="18">
        <f t="shared" si="19"/>
        <v>0.47013333333333335</v>
      </c>
      <c r="Q64" s="37"/>
    </row>
    <row r="65" spans="1:17" ht="15" x14ac:dyDescent="0.25">
      <c r="A65" s="19" t="s">
        <v>109</v>
      </c>
      <c r="B65" s="33" t="s">
        <v>110</v>
      </c>
      <c r="C65" s="32">
        <v>3000000</v>
      </c>
      <c r="D65" s="22"/>
      <c r="E65" s="23"/>
      <c r="F65" s="36"/>
      <c r="G65" s="63"/>
      <c r="H65" s="21">
        <f t="shared" si="24"/>
        <v>3000000</v>
      </c>
      <c r="I65" s="22">
        <f>JULIO!I65+JULIO!J65</f>
        <v>1391900</v>
      </c>
      <c r="J65" s="43">
        <v>217100</v>
      </c>
      <c r="K65" s="21">
        <f t="shared" si="14"/>
        <v>1609000</v>
      </c>
      <c r="L65" s="16">
        <f t="shared" si="1"/>
        <v>0.53633333333333333</v>
      </c>
      <c r="M65" s="25">
        <f t="shared" si="3"/>
        <v>1609000</v>
      </c>
      <c r="N65" s="26">
        <f t="shared" si="25"/>
        <v>1391000</v>
      </c>
      <c r="O65" s="18">
        <f t="shared" si="19"/>
        <v>0.46366666666666667</v>
      </c>
      <c r="Q65" s="37"/>
    </row>
    <row r="66" spans="1:17" ht="15" x14ac:dyDescent="0.25">
      <c r="A66" s="19" t="s">
        <v>111</v>
      </c>
      <c r="B66" s="33" t="s">
        <v>112</v>
      </c>
      <c r="C66" s="32">
        <v>6000000</v>
      </c>
      <c r="D66" s="22"/>
      <c r="E66" s="23"/>
      <c r="F66" s="36"/>
      <c r="G66" s="63"/>
      <c r="H66" s="21">
        <f t="shared" si="24"/>
        <v>6000000</v>
      </c>
      <c r="I66" s="22">
        <f>JULIO!I66+JULIO!J66</f>
        <v>2741100</v>
      </c>
      <c r="J66" s="43">
        <v>433700</v>
      </c>
      <c r="K66" s="21">
        <f t="shared" si="14"/>
        <v>3174800</v>
      </c>
      <c r="L66" s="16">
        <f t="shared" si="1"/>
        <v>0.52913333333333334</v>
      </c>
      <c r="M66" s="25">
        <f>J66+I66</f>
        <v>3174800</v>
      </c>
      <c r="N66" s="26">
        <f t="shared" si="25"/>
        <v>2825200</v>
      </c>
      <c r="O66" s="18">
        <f t="shared" si="19"/>
        <v>0.47086666666666666</v>
      </c>
      <c r="Q66" s="37"/>
    </row>
    <row r="67" spans="1:17" ht="15" x14ac:dyDescent="0.25">
      <c r="A67" s="19" t="s">
        <v>113</v>
      </c>
      <c r="B67" s="33" t="s">
        <v>114</v>
      </c>
      <c r="C67" s="32"/>
      <c r="D67" s="22"/>
      <c r="E67" s="23"/>
      <c r="F67" s="36"/>
      <c r="G67" s="63"/>
      <c r="H67" s="21">
        <f t="shared" si="24"/>
        <v>0</v>
      </c>
      <c r="I67" s="22">
        <f>JULIO!I67+JULIO!J67</f>
        <v>0</v>
      </c>
      <c r="J67" s="22">
        <v>0</v>
      </c>
      <c r="K67" s="21">
        <f t="shared" si="14"/>
        <v>0</v>
      </c>
      <c r="L67" s="16">
        <v>0</v>
      </c>
      <c r="M67" s="17">
        <f t="shared" si="3"/>
        <v>0</v>
      </c>
      <c r="N67" s="26">
        <f t="shared" si="25"/>
        <v>0</v>
      </c>
      <c r="O67" s="18">
        <v>0</v>
      </c>
      <c r="Q67" s="37"/>
    </row>
    <row r="68" spans="1:17" ht="27" customHeight="1" x14ac:dyDescent="0.2">
      <c r="A68" s="180">
        <v>20201203</v>
      </c>
      <c r="B68" s="66" t="s">
        <v>123</v>
      </c>
      <c r="C68" s="73">
        <f>C69</f>
        <v>0</v>
      </c>
      <c r="D68" s="74">
        <f t="shared" ref="D68:G68" si="26">D69</f>
        <v>0</v>
      </c>
      <c r="E68" s="74">
        <f>E69+E70</f>
        <v>50000000</v>
      </c>
      <c r="F68" s="68">
        <f t="shared" si="26"/>
        <v>0</v>
      </c>
      <c r="G68" s="74">
        <f t="shared" si="26"/>
        <v>0</v>
      </c>
      <c r="H68" s="68">
        <f>SUM(H69:H70)</f>
        <v>50000000</v>
      </c>
      <c r="I68" s="68">
        <f t="shared" ref="I68:L68" si="27">I69</f>
        <v>0</v>
      </c>
      <c r="J68" s="68">
        <f t="shared" si="27"/>
        <v>0</v>
      </c>
      <c r="K68" s="68">
        <f t="shared" si="27"/>
        <v>0</v>
      </c>
      <c r="L68" s="69">
        <f t="shared" si="27"/>
        <v>0</v>
      </c>
      <c r="M68" s="70">
        <f>J68+I68</f>
        <v>0</v>
      </c>
      <c r="N68" s="75">
        <f>SUM(N69:N70)</f>
        <v>50000000</v>
      </c>
      <c r="O68" s="71">
        <f t="shared" si="19"/>
        <v>1</v>
      </c>
      <c r="Q68" s="37"/>
    </row>
    <row r="69" spans="1:17" ht="15" x14ac:dyDescent="0.25">
      <c r="A69" s="181">
        <v>2020130101</v>
      </c>
      <c r="B69" s="173" t="s">
        <v>124</v>
      </c>
      <c r="C69" s="174">
        <v>0</v>
      </c>
      <c r="D69" s="175">
        <v>0</v>
      </c>
      <c r="E69" s="176">
        <v>0</v>
      </c>
      <c r="F69" s="177"/>
      <c r="G69" s="178"/>
      <c r="H69" s="21">
        <f t="shared" si="24"/>
        <v>0</v>
      </c>
      <c r="I69" s="175">
        <v>0</v>
      </c>
      <c r="J69" s="175">
        <v>0</v>
      </c>
      <c r="K69" s="179">
        <v>0</v>
      </c>
      <c r="L69" s="16">
        <v>0</v>
      </c>
      <c r="M69" s="25">
        <f t="shared" si="3"/>
        <v>0</v>
      </c>
      <c r="N69" s="26">
        <f t="shared" si="25"/>
        <v>0</v>
      </c>
      <c r="O69" s="18">
        <v>0</v>
      </c>
      <c r="Q69" s="37"/>
    </row>
    <row r="70" spans="1:17" ht="15" x14ac:dyDescent="0.25">
      <c r="A70" s="181">
        <v>45</v>
      </c>
      <c r="B70" s="173" t="s">
        <v>124</v>
      </c>
      <c r="C70" s="174">
        <v>0</v>
      </c>
      <c r="D70" s="175">
        <v>0</v>
      </c>
      <c r="E70" s="176">
        <v>50000000</v>
      </c>
      <c r="F70" s="177">
        <v>0</v>
      </c>
      <c r="G70" s="178">
        <v>0</v>
      </c>
      <c r="H70" s="21">
        <f t="shared" si="24"/>
        <v>50000000</v>
      </c>
      <c r="I70" s="175">
        <v>0</v>
      </c>
      <c r="J70" s="175">
        <v>0</v>
      </c>
      <c r="K70" s="179">
        <v>0</v>
      </c>
      <c r="L70" s="16">
        <f t="shared" si="1"/>
        <v>0</v>
      </c>
      <c r="M70" s="25">
        <f t="shared" si="3"/>
        <v>0</v>
      </c>
      <c r="N70" s="26">
        <f t="shared" si="25"/>
        <v>50000000</v>
      </c>
      <c r="O70" s="18">
        <f t="shared" si="19"/>
        <v>1</v>
      </c>
      <c r="Q70" s="37"/>
    </row>
    <row r="71" spans="1:17" s="80" customFormat="1" ht="31.5" customHeight="1" thickBot="1" x14ac:dyDescent="0.25">
      <c r="A71" s="81"/>
      <c r="B71" s="166" t="s">
        <v>115</v>
      </c>
      <c r="C71" s="171">
        <f>C57+C52+C32+C19+C24+C8</f>
        <v>1030155044</v>
      </c>
      <c r="D71" s="167">
        <f>D9+D57</f>
        <v>0</v>
      </c>
      <c r="E71" s="167">
        <f t="shared" ref="E71:J71" si="28">E8+E19+E24+E32+E52+E57+E68</f>
        <v>131431604</v>
      </c>
      <c r="F71" s="167">
        <f t="shared" si="28"/>
        <v>58384952</v>
      </c>
      <c r="G71" s="167">
        <f t="shared" si="28"/>
        <v>58384952</v>
      </c>
      <c r="H71" s="167">
        <f t="shared" si="28"/>
        <v>1161586648</v>
      </c>
      <c r="I71" s="167">
        <f t="shared" si="28"/>
        <v>595515143.97776079</v>
      </c>
      <c r="J71" s="167">
        <f t="shared" si="28"/>
        <v>106465719</v>
      </c>
      <c r="K71" s="167">
        <f>K57+K52+K32+K24+K19+K8</f>
        <v>640655616.97776079</v>
      </c>
      <c r="L71" s="168">
        <f t="shared" si="1"/>
        <v>0.55153493549605681</v>
      </c>
      <c r="M71" s="167">
        <f>M8+M19+M24+M32+M52+M57+M68</f>
        <v>701980862.97776079</v>
      </c>
      <c r="N71" s="167">
        <f>N8+N19+N24+N32+N52+N57+N68</f>
        <v>459605785.02223915</v>
      </c>
      <c r="O71" s="170">
        <f t="shared" si="19"/>
        <v>0.39567068527654009</v>
      </c>
    </row>
    <row r="72" spans="1:17" ht="35.25" customHeight="1" thickBot="1" x14ac:dyDescent="0.3">
      <c r="A72" s="165" t="s">
        <v>118</v>
      </c>
      <c r="B72" s="192" t="s">
        <v>119</v>
      </c>
      <c r="C72" s="193"/>
      <c r="D72" s="193"/>
      <c r="E72" s="193"/>
      <c r="F72" s="193"/>
      <c r="G72" s="193"/>
      <c r="H72" s="193"/>
      <c r="I72" s="193"/>
      <c r="J72" s="193"/>
      <c r="K72" s="193"/>
      <c r="L72" s="193"/>
      <c r="M72" s="193"/>
      <c r="N72" s="193"/>
      <c r="O72" s="194"/>
      <c r="Q72" s="40"/>
    </row>
    <row r="73" spans="1:17" x14ac:dyDescent="0.2">
      <c r="K73" s="40"/>
    </row>
    <row r="74" spans="1:17" x14ac:dyDescent="0.2">
      <c r="D74" s="40"/>
      <c r="F74" s="40"/>
      <c r="G74" s="40"/>
      <c r="K74" s="40"/>
      <c r="N74" s="40"/>
    </row>
    <row r="75" spans="1:17" x14ac:dyDescent="0.2">
      <c r="G75" s="40"/>
      <c r="I75" s="40"/>
      <c r="J75" s="42"/>
      <c r="N75" s="40"/>
    </row>
    <row r="76" spans="1:17" x14ac:dyDescent="0.2">
      <c r="D76" s="40"/>
      <c r="J76" s="40"/>
      <c r="L76" s="40"/>
      <c r="N76" s="40"/>
    </row>
    <row r="77" spans="1:17" x14ac:dyDescent="0.2">
      <c r="H77" s="40"/>
      <c r="J77" s="40"/>
      <c r="N77" s="40"/>
    </row>
    <row r="78" spans="1:17" x14ac:dyDescent="0.2">
      <c r="J78" s="40"/>
    </row>
  </sheetData>
  <mergeCells count="5">
    <mergeCell ref="A1:O1"/>
    <mergeCell ref="A2:O2"/>
    <mergeCell ref="A3:O3"/>
    <mergeCell ref="L5:L6"/>
    <mergeCell ref="B72:O72"/>
  </mergeCells>
  <printOptions horizontalCentered="1" verticalCentered="1"/>
  <pageMargins left="0.23622047244094491" right="0.23622047244094491" top="0.39370078740157483" bottom="0.98425196850393704" header="0" footer="0"/>
  <pageSetup paperSize="14" scale="42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8"/>
  <sheetViews>
    <sheetView showGridLines="0" zoomScale="80" zoomScaleNormal="80" zoomScaleSheetLayoutView="8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J58" sqref="J58:J67"/>
    </sheetView>
  </sheetViews>
  <sheetFormatPr baseColWidth="10" defaultRowHeight="14.25" x14ac:dyDescent="0.2"/>
  <cols>
    <col min="1" max="1" width="16" style="1" customWidth="1"/>
    <col min="2" max="2" width="49.625" style="1" customWidth="1"/>
    <col min="3" max="3" width="21.625" style="1" customWidth="1"/>
    <col min="4" max="7" width="14.625" style="1" customWidth="1"/>
    <col min="8" max="8" width="17.875" style="1" bestFit="1" customWidth="1"/>
    <col min="9" max="9" width="20.625" style="1" bestFit="1" customWidth="1"/>
    <col min="10" max="10" width="15" style="1" bestFit="1" customWidth="1"/>
    <col min="11" max="11" width="16" style="1" hidden="1" customWidth="1"/>
    <col min="12" max="12" width="6" style="1" bestFit="1" customWidth="1"/>
    <col min="13" max="13" width="17.375" style="41" customWidth="1"/>
    <col min="14" max="14" width="15.75" style="1" bestFit="1" customWidth="1"/>
    <col min="15" max="15" width="8.5" style="1" customWidth="1"/>
    <col min="16" max="16" width="11" style="1"/>
    <col min="17" max="17" width="10.125" style="1" bestFit="1" customWidth="1"/>
    <col min="18" max="256" width="11" style="1"/>
    <col min="257" max="257" width="16" style="1" customWidth="1"/>
    <col min="258" max="258" width="49.625" style="1" customWidth="1"/>
    <col min="259" max="259" width="15.25" style="1" customWidth="1"/>
    <col min="260" max="266" width="14.625" style="1" customWidth="1"/>
    <col min="267" max="267" width="0" style="1" hidden="1" customWidth="1"/>
    <col min="268" max="268" width="7.875" style="1" customWidth="1"/>
    <col min="269" max="269" width="17.375" style="1" customWidth="1"/>
    <col min="270" max="270" width="14.625" style="1" customWidth="1"/>
    <col min="271" max="271" width="8.5" style="1" customWidth="1"/>
    <col min="272" max="272" width="11" style="1"/>
    <col min="273" max="273" width="10.125" style="1" bestFit="1" customWidth="1"/>
    <col min="274" max="512" width="11" style="1"/>
    <col min="513" max="513" width="16" style="1" customWidth="1"/>
    <col min="514" max="514" width="49.625" style="1" customWidth="1"/>
    <col min="515" max="515" width="15.25" style="1" customWidth="1"/>
    <col min="516" max="522" width="14.625" style="1" customWidth="1"/>
    <col min="523" max="523" width="0" style="1" hidden="1" customWidth="1"/>
    <col min="524" max="524" width="7.875" style="1" customWidth="1"/>
    <col min="525" max="525" width="17.375" style="1" customWidth="1"/>
    <col min="526" max="526" width="14.625" style="1" customWidth="1"/>
    <col min="527" max="527" width="8.5" style="1" customWidth="1"/>
    <col min="528" max="528" width="11" style="1"/>
    <col min="529" max="529" width="10.125" style="1" bestFit="1" customWidth="1"/>
    <col min="530" max="768" width="11" style="1"/>
    <col min="769" max="769" width="16" style="1" customWidth="1"/>
    <col min="770" max="770" width="49.625" style="1" customWidth="1"/>
    <col min="771" max="771" width="15.25" style="1" customWidth="1"/>
    <col min="772" max="778" width="14.625" style="1" customWidth="1"/>
    <col min="779" max="779" width="0" style="1" hidden="1" customWidth="1"/>
    <col min="780" max="780" width="7.875" style="1" customWidth="1"/>
    <col min="781" max="781" width="17.375" style="1" customWidth="1"/>
    <col min="782" max="782" width="14.625" style="1" customWidth="1"/>
    <col min="783" max="783" width="8.5" style="1" customWidth="1"/>
    <col min="784" max="784" width="11" style="1"/>
    <col min="785" max="785" width="10.125" style="1" bestFit="1" customWidth="1"/>
    <col min="786" max="1024" width="11" style="1"/>
    <col min="1025" max="1025" width="16" style="1" customWidth="1"/>
    <col min="1026" max="1026" width="49.625" style="1" customWidth="1"/>
    <col min="1027" max="1027" width="15.25" style="1" customWidth="1"/>
    <col min="1028" max="1034" width="14.625" style="1" customWidth="1"/>
    <col min="1035" max="1035" width="0" style="1" hidden="1" customWidth="1"/>
    <col min="1036" max="1036" width="7.875" style="1" customWidth="1"/>
    <col min="1037" max="1037" width="17.375" style="1" customWidth="1"/>
    <col min="1038" max="1038" width="14.625" style="1" customWidth="1"/>
    <col min="1039" max="1039" width="8.5" style="1" customWidth="1"/>
    <col min="1040" max="1040" width="11" style="1"/>
    <col min="1041" max="1041" width="10.125" style="1" bestFit="1" customWidth="1"/>
    <col min="1042" max="1280" width="11" style="1"/>
    <col min="1281" max="1281" width="16" style="1" customWidth="1"/>
    <col min="1282" max="1282" width="49.625" style="1" customWidth="1"/>
    <col min="1283" max="1283" width="15.25" style="1" customWidth="1"/>
    <col min="1284" max="1290" width="14.625" style="1" customWidth="1"/>
    <col min="1291" max="1291" width="0" style="1" hidden="1" customWidth="1"/>
    <col min="1292" max="1292" width="7.875" style="1" customWidth="1"/>
    <col min="1293" max="1293" width="17.375" style="1" customWidth="1"/>
    <col min="1294" max="1294" width="14.625" style="1" customWidth="1"/>
    <col min="1295" max="1295" width="8.5" style="1" customWidth="1"/>
    <col min="1296" max="1296" width="11" style="1"/>
    <col min="1297" max="1297" width="10.125" style="1" bestFit="1" customWidth="1"/>
    <col min="1298" max="1536" width="11" style="1"/>
    <col min="1537" max="1537" width="16" style="1" customWidth="1"/>
    <col min="1538" max="1538" width="49.625" style="1" customWidth="1"/>
    <col min="1539" max="1539" width="15.25" style="1" customWidth="1"/>
    <col min="1540" max="1546" width="14.625" style="1" customWidth="1"/>
    <col min="1547" max="1547" width="0" style="1" hidden="1" customWidth="1"/>
    <col min="1548" max="1548" width="7.875" style="1" customWidth="1"/>
    <col min="1549" max="1549" width="17.375" style="1" customWidth="1"/>
    <col min="1550" max="1550" width="14.625" style="1" customWidth="1"/>
    <col min="1551" max="1551" width="8.5" style="1" customWidth="1"/>
    <col min="1552" max="1552" width="11" style="1"/>
    <col min="1553" max="1553" width="10.125" style="1" bestFit="1" customWidth="1"/>
    <col min="1554" max="1792" width="11" style="1"/>
    <col min="1793" max="1793" width="16" style="1" customWidth="1"/>
    <col min="1794" max="1794" width="49.625" style="1" customWidth="1"/>
    <col min="1795" max="1795" width="15.25" style="1" customWidth="1"/>
    <col min="1796" max="1802" width="14.625" style="1" customWidth="1"/>
    <col min="1803" max="1803" width="0" style="1" hidden="1" customWidth="1"/>
    <col min="1804" max="1804" width="7.875" style="1" customWidth="1"/>
    <col min="1805" max="1805" width="17.375" style="1" customWidth="1"/>
    <col min="1806" max="1806" width="14.625" style="1" customWidth="1"/>
    <col min="1807" max="1807" width="8.5" style="1" customWidth="1"/>
    <col min="1808" max="1808" width="11" style="1"/>
    <col min="1809" max="1809" width="10.125" style="1" bestFit="1" customWidth="1"/>
    <col min="1810" max="2048" width="11" style="1"/>
    <col min="2049" max="2049" width="16" style="1" customWidth="1"/>
    <col min="2050" max="2050" width="49.625" style="1" customWidth="1"/>
    <col min="2051" max="2051" width="15.25" style="1" customWidth="1"/>
    <col min="2052" max="2058" width="14.625" style="1" customWidth="1"/>
    <col min="2059" max="2059" width="0" style="1" hidden="1" customWidth="1"/>
    <col min="2060" max="2060" width="7.875" style="1" customWidth="1"/>
    <col min="2061" max="2061" width="17.375" style="1" customWidth="1"/>
    <col min="2062" max="2062" width="14.625" style="1" customWidth="1"/>
    <col min="2063" max="2063" width="8.5" style="1" customWidth="1"/>
    <col min="2064" max="2064" width="11" style="1"/>
    <col min="2065" max="2065" width="10.125" style="1" bestFit="1" customWidth="1"/>
    <col min="2066" max="2304" width="11" style="1"/>
    <col min="2305" max="2305" width="16" style="1" customWidth="1"/>
    <col min="2306" max="2306" width="49.625" style="1" customWidth="1"/>
    <col min="2307" max="2307" width="15.25" style="1" customWidth="1"/>
    <col min="2308" max="2314" width="14.625" style="1" customWidth="1"/>
    <col min="2315" max="2315" width="0" style="1" hidden="1" customWidth="1"/>
    <col min="2316" max="2316" width="7.875" style="1" customWidth="1"/>
    <col min="2317" max="2317" width="17.375" style="1" customWidth="1"/>
    <col min="2318" max="2318" width="14.625" style="1" customWidth="1"/>
    <col min="2319" max="2319" width="8.5" style="1" customWidth="1"/>
    <col min="2320" max="2320" width="11" style="1"/>
    <col min="2321" max="2321" width="10.125" style="1" bestFit="1" customWidth="1"/>
    <col min="2322" max="2560" width="11" style="1"/>
    <col min="2561" max="2561" width="16" style="1" customWidth="1"/>
    <col min="2562" max="2562" width="49.625" style="1" customWidth="1"/>
    <col min="2563" max="2563" width="15.25" style="1" customWidth="1"/>
    <col min="2564" max="2570" width="14.625" style="1" customWidth="1"/>
    <col min="2571" max="2571" width="0" style="1" hidden="1" customWidth="1"/>
    <col min="2572" max="2572" width="7.875" style="1" customWidth="1"/>
    <col min="2573" max="2573" width="17.375" style="1" customWidth="1"/>
    <col min="2574" max="2574" width="14.625" style="1" customWidth="1"/>
    <col min="2575" max="2575" width="8.5" style="1" customWidth="1"/>
    <col min="2576" max="2576" width="11" style="1"/>
    <col min="2577" max="2577" width="10.125" style="1" bestFit="1" customWidth="1"/>
    <col min="2578" max="2816" width="11" style="1"/>
    <col min="2817" max="2817" width="16" style="1" customWidth="1"/>
    <col min="2818" max="2818" width="49.625" style="1" customWidth="1"/>
    <col min="2819" max="2819" width="15.25" style="1" customWidth="1"/>
    <col min="2820" max="2826" width="14.625" style="1" customWidth="1"/>
    <col min="2827" max="2827" width="0" style="1" hidden="1" customWidth="1"/>
    <col min="2828" max="2828" width="7.875" style="1" customWidth="1"/>
    <col min="2829" max="2829" width="17.375" style="1" customWidth="1"/>
    <col min="2830" max="2830" width="14.625" style="1" customWidth="1"/>
    <col min="2831" max="2831" width="8.5" style="1" customWidth="1"/>
    <col min="2832" max="2832" width="11" style="1"/>
    <col min="2833" max="2833" width="10.125" style="1" bestFit="1" customWidth="1"/>
    <col min="2834" max="3072" width="11" style="1"/>
    <col min="3073" max="3073" width="16" style="1" customWidth="1"/>
    <col min="3074" max="3074" width="49.625" style="1" customWidth="1"/>
    <col min="3075" max="3075" width="15.25" style="1" customWidth="1"/>
    <col min="3076" max="3082" width="14.625" style="1" customWidth="1"/>
    <col min="3083" max="3083" width="0" style="1" hidden="1" customWidth="1"/>
    <col min="3084" max="3084" width="7.875" style="1" customWidth="1"/>
    <col min="3085" max="3085" width="17.375" style="1" customWidth="1"/>
    <col min="3086" max="3086" width="14.625" style="1" customWidth="1"/>
    <col min="3087" max="3087" width="8.5" style="1" customWidth="1"/>
    <col min="3088" max="3088" width="11" style="1"/>
    <col min="3089" max="3089" width="10.125" style="1" bestFit="1" customWidth="1"/>
    <col min="3090" max="3328" width="11" style="1"/>
    <col min="3329" max="3329" width="16" style="1" customWidth="1"/>
    <col min="3330" max="3330" width="49.625" style="1" customWidth="1"/>
    <col min="3331" max="3331" width="15.25" style="1" customWidth="1"/>
    <col min="3332" max="3338" width="14.625" style="1" customWidth="1"/>
    <col min="3339" max="3339" width="0" style="1" hidden="1" customWidth="1"/>
    <col min="3340" max="3340" width="7.875" style="1" customWidth="1"/>
    <col min="3341" max="3341" width="17.375" style="1" customWidth="1"/>
    <col min="3342" max="3342" width="14.625" style="1" customWidth="1"/>
    <col min="3343" max="3343" width="8.5" style="1" customWidth="1"/>
    <col min="3344" max="3344" width="11" style="1"/>
    <col min="3345" max="3345" width="10.125" style="1" bestFit="1" customWidth="1"/>
    <col min="3346" max="3584" width="11" style="1"/>
    <col min="3585" max="3585" width="16" style="1" customWidth="1"/>
    <col min="3586" max="3586" width="49.625" style="1" customWidth="1"/>
    <col min="3587" max="3587" width="15.25" style="1" customWidth="1"/>
    <col min="3588" max="3594" width="14.625" style="1" customWidth="1"/>
    <col min="3595" max="3595" width="0" style="1" hidden="1" customWidth="1"/>
    <col min="3596" max="3596" width="7.875" style="1" customWidth="1"/>
    <col min="3597" max="3597" width="17.375" style="1" customWidth="1"/>
    <col min="3598" max="3598" width="14.625" style="1" customWidth="1"/>
    <col min="3599" max="3599" width="8.5" style="1" customWidth="1"/>
    <col min="3600" max="3600" width="11" style="1"/>
    <col min="3601" max="3601" width="10.125" style="1" bestFit="1" customWidth="1"/>
    <col min="3602" max="3840" width="11" style="1"/>
    <col min="3841" max="3841" width="16" style="1" customWidth="1"/>
    <col min="3842" max="3842" width="49.625" style="1" customWidth="1"/>
    <col min="3843" max="3843" width="15.25" style="1" customWidth="1"/>
    <col min="3844" max="3850" width="14.625" style="1" customWidth="1"/>
    <col min="3851" max="3851" width="0" style="1" hidden="1" customWidth="1"/>
    <col min="3852" max="3852" width="7.875" style="1" customWidth="1"/>
    <col min="3853" max="3853" width="17.375" style="1" customWidth="1"/>
    <col min="3854" max="3854" width="14.625" style="1" customWidth="1"/>
    <col min="3855" max="3855" width="8.5" style="1" customWidth="1"/>
    <col min="3856" max="3856" width="11" style="1"/>
    <col min="3857" max="3857" width="10.125" style="1" bestFit="1" customWidth="1"/>
    <col min="3858" max="4096" width="11" style="1"/>
    <col min="4097" max="4097" width="16" style="1" customWidth="1"/>
    <col min="4098" max="4098" width="49.625" style="1" customWidth="1"/>
    <col min="4099" max="4099" width="15.25" style="1" customWidth="1"/>
    <col min="4100" max="4106" width="14.625" style="1" customWidth="1"/>
    <col min="4107" max="4107" width="0" style="1" hidden="1" customWidth="1"/>
    <col min="4108" max="4108" width="7.875" style="1" customWidth="1"/>
    <col min="4109" max="4109" width="17.375" style="1" customWidth="1"/>
    <col min="4110" max="4110" width="14.625" style="1" customWidth="1"/>
    <col min="4111" max="4111" width="8.5" style="1" customWidth="1"/>
    <col min="4112" max="4112" width="11" style="1"/>
    <col min="4113" max="4113" width="10.125" style="1" bestFit="1" customWidth="1"/>
    <col min="4114" max="4352" width="11" style="1"/>
    <col min="4353" max="4353" width="16" style="1" customWidth="1"/>
    <col min="4354" max="4354" width="49.625" style="1" customWidth="1"/>
    <col min="4355" max="4355" width="15.25" style="1" customWidth="1"/>
    <col min="4356" max="4362" width="14.625" style="1" customWidth="1"/>
    <col min="4363" max="4363" width="0" style="1" hidden="1" customWidth="1"/>
    <col min="4364" max="4364" width="7.875" style="1" customWidth="1"/>
    <col min="4365" max="4365" width="17.375" style="1" customWidth="1"/>
    <col min="4366" max="4366" width="14.625" style="1" customWidth="1"/>
    <col min="4367" max="4367" width="8.5" style="1" customWidth="1"/>
    <col min="4368" max="4368" width="11" style="1"/>
    <col min="4369" max="4369" width="10.125" style="1" bestFit="1" customWidth="1"/>
    <col min="4370" max="4608" width="11" style="1"/>
    <col min="4609" max="4609" width="16" style="1" customWidth="1"/>
    <col min="4610" max="4610" width="49.625" style="1" customWidth="1"/>
    <col min="4611" max="4611" width="15.25" style="1" customWidth="1"/>
    <col min="4612" max="4618" width="14.625" style="1" customWidth="1"/>
    <col min="4619" max="4619" width="0" style="1" hidden="1" customWidth="1"/>
    <col min="4620" max="4620" width="7.875" style="1" customWidth="1"/>
    <col min="4621" max="4621" width="17.375" style="1" customWidth="1"/>
    <col min="4622" max="4622" width="14.625" style="1" customWidth="1"/>
    <col min="4623" max="4623" width="8.5" style="1" customWidth="1"/>
    <col min="4624" max="4624" width="11" style="1"/>
    <col min="4625" max="4625" width="10.125" style="1" bestFit="1" customWidth="1"/>
    <col min="4626" max="4864" width="11" style="1"/>
    <col min="4865" max="4865" width="16" style="1" customWidth="1"/>
    <col min="4866" max="4866" width="49.625" style="1" customWidth="1"/>
    <col min="4867" max="4867" width="15.25" style="1" customWidth="1"/>
    <col min="4868" max="4874" width="14.625" style="1" customWidth="1"/>
    <col min="4875" max="4875" width="0" style="1" hidden="1" customWidth="1"/>
    <col min="4876" max="4876" width="7.875" style="1" customWidth="1"/>
    <col min="4877" max="4877" width="17.375" style="1" customWidth="1"/>
    <col min="4878" max="4878" width="14.625" style="1" customWidth="1"/>
    <col min="4879" max="4879" width="8.5" style="1" customWidth="1"/>
    <col min="4880" max="4880" width="11" style="1"/>
    <col min="4881" max="4881" width="10.125" style="1" bestFit="1" customWidth="1"/>
    <col min="4882" max="5120" width="11" style="1"/>
    <col min="5121" max="5121" width="16" style="1" customWidth="1"/>
    <col min="5122" max="5122" width="49.625" style="1" customWidth="1"/>
    <col min="5123" max="5123" width="15.25" style="1" customWidth="1"/>
    <col min="5124" max="5130" width="14.625" style="1" customWidth="1"/>
    <col min="5131" max="5131" width="0" style="1" hidden="1" customWidth="1"/>
    <col min="5132" max="5132" width="7.875" style="1" customWidth="1"/>
    <col min="5133" max="5133" width="17.375" style="1" customWidth="1"/>
    <col min="5134" max="5134" width="14.625" style="1" customWidth="1"/>
    <col min="5135" max="5135" width="8.5" style="1" customWidth="1"/>
    <col min="5136" max="5136" width="11" style="1"/>
    <col min="5137" max="5137" width="10.125" style="1" bestFit="1" customWidth="1"/>
    <col min="5138" max="5376" width="11" style="1"/>
    <col min="5377" max="5377" width="16" style="1" customWidth="1"/>
    <col min="5378" max="5378" width="49.625" style="1" customWidth="1"/>
    <col min="5379" max="5379" width="15.25" style="1" customWidth="1"/>
    <col min="5380" max="5386" width="14.625" style="1" customWidth="1"/>
    <col min="5387" max="5387" width="0" style="1" hidden="1" customWidth="1"/>
    <col min="5388" max="5388" width="7.875" style="1" customWidth="1"/>
    <col min="5389" max="5389" width="17.375" style="1" customWidth="1"/>
    <col min="5390" max="5390" width="14.625" style="1" customWidth="1"/>
    <col min="5391" max="5391" width="8.5" style="1" customWidth="1"/>
    <col min="5392" max="5392" width="11" style="1"/>
    <col min="5393" max="5393" width="10.125" style="1" bestFit="1" customWidth="1"/>
    <col min="5394" max="5632" width="11" style="1"/>
    <col min="5633" max="5633" width="16" style="1" customWidth="1"/>
    <col min="5634" max="5634" width="49.625" style="1" customWidth="1"/>
    <col min="5635" max="5635" width="15.25" style="1" customWidth="1"/>
    <col min="5636" max="5642" width="14.625" style="1" customWidth="1"/>
    <col min="5643" max="5643" width="0" style="1" hidden="1" customWidth="1"/>
    <col min="5644" max="5644" width="7.875" style="1" customWidth="1"/>
    <col min="5645" max="5645" width="17.375" style="1" customWidth="1"/>
    <col min="5646" max="5646" width="14.625" style="1" customWidth="1"/>
    <col min="5647" max="5647" width="8.5" style="1" customWidth="1"/>
    <col min="5648" max="5648" width="11" style="1"/>
    <col min="5649" max="5649" width="10.125" style="1" bestFit="1" customWidth="1"/>
    <col min="5650" max="5888" width="11" style="1"/>
    <col min="5889" max="5889" width="16" style="1" customWidth="1"/>
    <col min="5890" max="5890" width="49.625" style="1" customWidth="1"/>
    <col min="5891" max="5891" width="15.25" style="1" customWidth="1"/>
    <col min="5892" max="5898" width="14.625" style="1" customWidth="1"/>
    <col min="5899" max="5899" width="0" style="1" hidden="1" customWidth="1"/>
    <col min="5900" max="5900" width="7.875" style="1" customWidth="1"/>
    <col min="5901" max="5901" width="17.375" style="1" customWidth="1"/>
    <col min="5902" max="5902" width="14.625" style="1" customWidth="1"/>
    <col min="5903" max="5903" width="8.5" style="1" customWidth="1"/>
    <col min="5904" max="5904" width="11" style="1"/>
    <col min="5905" max="5905" width="10.125" style="1" bestFit="1" customWidth="1"/>
    <col min="5906" max="6144" width="11" style="1"/>
    <col min="6145" max="6145" width="16" style="1" customWidth="1"/>
    <col min="6146" max="6146" width="49.625" style="1" customWidth="1"/>
    <col min="6147" max="6147" width="15.25" style="1" customWidth="1"/>
    <col min="6148" max="6154" width="14.625" style="1" customWidth="1"/>
    <col min="6155" max="6155" width="0" style="1" hidden="1" customWidth="1"/>
    <col min="6156" max="6156" width="7.875" style="1" customWidth="1"/>
    <col min="6157" max="6157" width="17.375" style="1" customWidth="1"/>
    <col min="6158" max="6158" width="14.625" style="1" customWidth="1"/>
    <col min="6159" max="6159" width="8.5" style="1" customWidth="1"/>
    <col min="6160" max="6160" width="11" style="1"/>
    <col min="6161" max="6161" width="10.125" style="1" bestFit="1" customWidth="1"/>
    <col min="6162" max="6400" width="11" style="1"/>
    <col min="6401" max="6401" width="16" style="1" customWidth="1"/>
    <col min="6402" max="6402" width="49.625" style="1" customWidth="1"/>
    <col min="6403" max="6403" width="15.25" style="1" customWidth="1"/>
    <col min="6404" max="6410" width="14.625" style="1" customWidth="1"/>
    <col min="6411" max="6411" width="0" style="1" hidden="1" customWidth="1"/>
    <col min="6412" max="6412" width="7.875" style="1" customWidth="1"/>
    <col min="6413" max="6413" width="17.375" style="1" customWidth="1"/>
    <col min="6414" max="6414" width="14.625" style="1" customWidth="1"/>
    <col min="6415" max="6415" width="8.5" style="1" customWidth="1"/>
    <col min="6416" max="6416" width="11" style="1"/>
    <col min="6417" max="6417" width="10.125" style="1" bestFit="1" customWidth="1"/>
    <col min="6418" max="6656" width="11" style="1"/>
    <col min="6657" max="6657" width="16" style="1" customWidth="1"/>
    <col min="6658" max="6658" width="49.625" style="1" customWidth="1"/>
    <col min="6659" max="6659" width="15.25" style="1" customWidth="1"/>
    <col min="6660" max="6666" width="14.625" style="1" customWidth="1"/>
    <col min="6667" max="6667" width="0" style="1" hidden="1" customWidth="1"/>
    <col min="6668" max="6668" width="7.875" style="1" customWidth="1"/>
    <col min="6669" max="6669" width="17.375" style="1" customWidth="1"/>
    <col min="6670" max="6670" width="14.625" style="1" customWidth="1"/>
    <col min="6671" max="6671" width="8.5" style="1" customWidth="1"/>
    <col min="6672" max="6672" width="11" style="1"/>
    <col min="6673" max="6673" width="10.125" style="1" bestFit="1" customWidth="1"/>
    <col min="6674" max="6912" width="11" style="1"/>
    <col min="6913" max="6913" width="16" style="1" customWidth="1"/>
    <col min="6914" max="6914" width="49.625" style="1" customWidth="1"/>
    <col min="6915" max="6915" width="15.25" style="1" customWidth="1"/>
    <col min="6916" max="6922" width="14.625" style="1" customWidth="1"/>
    <col min="6923" max="6923" width="0" style="1" hidden="1" customWidth="1"/>
    <col min="6924" max="6924" width="7.875" style="1" customWidth="1"/>
    <col min="6925" max="6925" width="17.375" style="1" customWidth="1"/>
    <col min="6926" max="6926" width="14.625" style="1" customWidth="1"/>
    <col min="6927" max="6927" width="8.5" style="1" customWidth="1"/>
    <col min="6928" max="6928" width="11" style="1"/>
    <col min="6929" max="6929" width="10.125" style="1" bestFit="1" customWidth="1"/>
    <col min="6930" max="7168" width="11" style="1"/>
    <col min="7169" max="7169" width="16" style="1" customWidth="1"/>
    <col min="7170" max="7170" width="49.625" style="1" customWidth="1"/>
    <col min="7171" max="7171" width="15.25" style="1" customWidth="1"/>
    <col min="7172" max="7178" width="14.625" style="1" customWidth="1"/>
    <col min="7179" max="7179" width="0" style="1" hidden="1" customWidth="1"/>
    <col min="7180" max="7180" width="7.875" style="1" customWidth="1"/>
    <col min="7181" max="7181" width="17.375" style="1" customWidth="1"/>
    <col min="7182" max="7182" width="14.625" style="1" customWidth="1"/>
    <col min="7183" max="7183" width="8.5" style="1" customWidth="1"/>
    <col min="7184" max="7184" width="11" style="1"/>
    <col min="7185" max="7185" width="10.125" style="1" bestFit="1" customWidth="1"/>
    <col min="7186" max="7424" width="11" style="1"/>
    <col min="7425" max="7425" width="16" style="1" customWidth="1"/>
    <col min="7426" max="7426" width="49.625" style="1" customWidth="1"/>
    <col min="7427" max="7427" width="15.25" style="1" customWidth="1"/>
    <col min="7428" max="7434" width="14.625" style="1" customWidth="1"/>
    <col min="7435" max="7435" width="0" style="1" hidden="1" customWidth="1"/>
    <col min="7436" max="7436" width="7.875" style="1" customWidth="1"/>
    <col min="7437" max="7437" width="17.375" style="1" customWidth="1"/>
    <col min="7438" max="7438" width="14.625" style="1" customWidth="1"/>
    <col min="7439" max="7439" width="8.5" style="1" customWidth="1"/>
    <col min="7440" max="7440" width="11" style="1"/>
    <col min="7441" max="7441" width="10.125" style="1" bestFit="1" customWidth="1"/>
    <col min="7442" max="7680" width="11" style="1"/>
    <col min="7681" max="7681" width="16" style="1" customWidth="1"/>
    <col min="7682" max="7682" width="49.625" style="1" customWidth="1"/>
    <col min="7683" max="7683" width="15.25" style="1" customWidth="1"/>
    <col min="7684" max="7690" width="14.625" style="1" customWidth="1"/>
    <col min="7691" max="7691" width="0" style="1" hidden="1" customWidth="1"/>
    <col min="7692" max="7692" width="7.875" style="1" customWidth="1"/>
    <col min="7693" max="7693" width="17.375" style="1" customWidth="1"/>
    <col min="7694" max="7694" width="14.625" style="1" customWidth="1"/>
    <col min="7695" max="7695" width="8.5" style="1" customWidth="1"/>
    <col min="7696" max="7696" width="11" style="1"/>
    <col min="7697" max="7697" width="10.125" style="1" bestFit="1" customWidth="1"/>
    <col min="7698" max="7936" width="11" style="1"/>
    <col min="7937" max="7937" width="16" style="1" customWidth="1"/>
    <col min="7938" max="7938" width="49.625" style="1" customWidth="1"/>
    <col min="7939" max="7939" width="15.25" style="1" customWidth="1"/>
    <col min="7940" max="7946" width="14.625" style="1" customWidth="1"/>
    <col min="7947" max="7947" width="0" style="1" hidden="1" customWidth="1"/>
    <col min="7948" max="7948" width="7.875" style="1" customWidth="1"/>
    <col min="7949" max="7949" width="17.375" style="1" customWidth="1"/>
    <col min="7950" max="7950" width="14.625" style="1" customWidth="1"/>
    <col min="7951" max="7951" width="8.5" style="1" customWidth="1"/>
    <col min="7952" max="7952" width="11" style="1"/>
    <col min="7953" max="7953" width="10.125" style="1" bestFit="1" customWidth="1"/>
    <col min="7954" max="8192" width="11" style="1"/>
    <col min="8193" max="8193" width="16" style="1" customWidth="1"/>
    <col min="8194" max="8194" width="49.625" style="1" customWidth="1"/>
    <col min="8195" max="8195" width="15.25" style="1" customWidth="1"/>
    <col min="8196" max="8202" width="14.625" style="1" customWidth="1"/>
    <col min="8203" max="8203" width="0" style="1" hidden="1" customWidth="1"/>
    <col min="8204" max="8204" width="7.875" style="1" customWidth="1"/>
    <col min="8205" max="8205" width="17.375" style="1" customWidth="1"/>
    <col min="8206" max="8206" width="14.625" style="1" customWidth="1"/>
    <col min="8207" max="8207" width="8.5" style="1" customWidth="1"/>
    <col min="8208" max="8208" width="11" style="1"/>
    <col min="8209" max="8209" width="10.125" style="1" bestFit="1" customWidth="1"/>
    <col min="8210" max="8448" width="11" style="1"/>
    <col min="8449" max="8449" width="16" style="1" customWidth="1"/>
    <col min="8450" max="8450" width="49.625" style="1" customWidth="1"/>
    <col min="8451" max="8451" width="15.25" style="1" customWidth="1"/>
    <col min="8452" max="8458" width="14.625" style="1" customWidth="1"/>
    <col min="8459" max="8459" width="0" style="1" hidden="1" customWidth="1"/>
    <col min="8460" max="8460" width="7.875" style="1" customWidth="1"/>
    <col min="8461" max="8461" width="17.375" style="1" customWidth="1"/>
    <col min="8462" max="8462" width="14.625" style="1" customWidth="1"/>
    <col min="8463" max="8463" width="8.5" style="1" customWidth="1"/>
    <col min="8464" max="8464" width="11" style="1"/>
    <col min="8465" max="8465" width="10.125" style="1" bestFit="1" customWidth="1"/>
    <col min="8466" max="8704" width="11" style="1"/>
    <col min="8705" max="8705" width="16" style="1" customWidth="1"/>
    <col min="8706" max="8706" width="49.625" style="1" customWidth="1"/>
    <col min="8707" max="8707" width="15.25" style="1" customWidth="1"/>
    <col min="8708" max="8714" width="14.625" style="1" customWidth="1"/>
    <col min="8715" max="8715" width="0" style="1" hidden="1" customWidth="1"/>
    <col min="8716" max="8716" width="7.875" style="1" customWidth="1"/>
    <col min="8717" max="8717" width="17.375" style="1" customWidth="1"/>
    <col min="8718" max="8718" width="14.625" style="1" customWidth="1"/>
    <col min="8719" max="8719" width="8.5" style="1" customWidth="1"/>
    <col min="8720" max="8720" width="11" style="1"/>
    <col min="8721" max="8721" width="10.125" style="1" bestFit="1" customWidth="1"/>
    <col min="8722" max="8960" width="11" style="1"/>
    <col min="8961" max="8961" width="16" style="1" customWidth="1"/>
    <col min="8962" max="8962" width="49.625" style="1" customWidth="1"/>
    <col min="8963" max="8963" width="15.25" style="1" customWidth="1"/>
    <col min="8964" max="8970" width="14.625" style="1" customWidth="1"/>
    <col min="8971" max="8971" width="0" style="1" hidden="1" customWidth="1"/>
    <col min="8972" max="8972" width="7.875" style="1" customWidth="1"/>
    <col min="8973" max="8973" width="17.375" style="1" customWidth="1"/>
    <col min="8974" max="8974" width="14.625" style="1" customWidth="1"/>
    <col min="8975" max="8975" width="8.5" style="1" customWidth="1"/>
    <col min="8976" max="8976" width="11" style="1"/>
    <col min="8977" max="8977" width="10.125" style="1" bestFit="1" customWidth="1"/>
    <col min="8978" max="9216" width="11" style="1"/>
    <col min="9217" max="9217" width="16" style="1" customWidth="1"/>
    <col min="9218" max="9218" width="49.625" style="1" customWidth="1"/>
    <col min="9219" max="9219" width="15.25" style="1" customWidth="1"/>
    <col min="9220" max="9226" width="14.625" style="1" customWidth="1"/>
    <col min="9227" max="9227" width="0" style="1" hidden="1" customWidth="1"/>
    <col min="9228" max="9228" width="7.875" style="1" customWidth="1"/>
    <col min="9229" max="9229" width="17.375" style="1" customWidth="1"/>
    <col min="9230" max="9230" width="14.625" style="1" customWidth="1"/>
    <col min="9231" max="9231" width="8.5" style="1" customWidth="1"/>
    <col min="9232" max="9232" width="11" style="1"/>
    <col min="9233" max="9233" width="10.125" style="1" bestFit="1" customWidth="1"/>
    <col min="9234" max="9472" width="11" style="1"/>
    <col min="9473" max="9473" width="16" style="1" customWidth="1"/>
    <col min="9474" max="9474" width="49.625" style="1" customWidth="1"/>
    <col min="9475" max="9475" width="15.25" style="1" customWidth="1"/>
    <col min="9476" max="9482" width="14.625" style="1" customWidth="1"/>
    <col min="9483" max="9483" width="0" style="1" hidden="1" customWidth="1"/>
    <col min="9484" max="9484" width="7.875" style="1" customWidth="1"/>
    <col min="9485" max="9485" width="17.375" style="1" customWidth="1"/>
    <col min="9486" max="9486" width="14.625" style="1" customWidth="1"/>
    <col min="9487" max="9487" width="8.5" style="1" customWidth="1"/>
    <col min="9488" max="9488" width="11" style="1"/>
    <col min="9489" max="9489" width="10.125" style="1" bestFit="1" customWidth="1"/>
    <col min="9490" max="9728" width="11" style="1"/>
    <col min="9729" max="9729" width="16" style="1" customWidth="1"/>
    <col min="9730" max="9730" width="49.625" style="1" customWidth="1"/>
    <col min="9731" max="9731" width="15.25" style="1" customWidth="1"/>
    <col min="9732" max="9738" width="14.625" style="1" customWidth="1"/>
    <col min="9739" max="9739" width="0" style="1" hidden="1" customWidth="1"/>
    <col min="9740" max="9740" width="7.875" style="1" customWidth="1"/>
    <col min="9741" max="9741" width="17.375" style="1" customWidth="1"/>
    <col min="9742" max="9742" width="14.625" style="1" customWidth="1"/>
    <col min="9743" max="9743" width="8.5" style="1" customWidth="1"/>
    <col min="9744" max="9744" width="11" style="1"/>
    <col min="9745" max="9745" width="10.125" style="1" bestFit="1" customWidth="1"/>
    <col min="9746" max="9984" width="11" style="1"/>
    <col min="9985" max="9985" width="16" style="1" customWidth="1"/>
    <col min="9986" max="9986" width="49.625" style="1" customWidth="1"/>
    <col min="9987" max="9987" width="15.25" style="1" customWidth="1"/>
    <col min="9988" max="9994" width="14.625" style="1" customWidth="1"/>
    <col min="9995" max="9995" width="0" style="1" hidden="1" customWidth="1"/>
    <col min="9996" max="9996" width="7.875" style="1" customWidth="1"/>
    <col min="9997" max="9997" width="17.375" style="1" customWidth="1"/>
    <col min="9998" max="9998" width="14.625" style="1" customWidth="1"/>
    <col min="9999" max="9999" width="8.5" style="1" customWidth="1"/>
    <col min="10000" max="10000" width="11" style="1"/>
    <col min="10001" max="10001" width="10.125" style="1" bestFit="1" customWidth="1"/>
    <col min="10002" max="10240" width="11" style="1"/>
    <col min="10241" max="10241" width="16" style="1" customWidth="1"/>
    <col min="10242" max="10242" width="49.625" style="1" customWidth="1"/>
    <col min="10243" max="10243" width="15.25" style="1" customWidth="1"/>
    <col min="10244" max="10250" width="14.625" style="1" customWidth="1"/>
    <col min="10251" max="10251" width="0" style="1" hidden="1" customWidth="1"/>
    <col min="10252" max="10252" width="7.875" style="1" customWidth="1"/>
    <col min="10253" max="10253" width="17.375" style="1" customWidth="1"/>
    <col min="10254" max="10254" width="14.625" style="1" customWidth="1"/>
    <col min="10255" max="10255" width="8.5" style="1" customWidth="1"/>
    <col min="10256" max="10256" width="11" style="1"/>
    <col min="10257" max="10257" width="10.125" style="1" bestFit="1" customWidth="1"/>
    <col min="10258" max="10496" width="11" style="1"/>
    <col min="10497" max="10497" width="16" style="1" customWidth="1"/>
    <col min="10498" max="10498" width="49.625" style="1" customWidth="1"/>
    <col min="10499" max="10499" width="15.25" style="1" customWidth="1"/>
    <col min="10500" max="10506" width="14.625" style="1" customWidth="1"/>
    <col min="10507" max="10507" width="0" style="1" hidden="1" customWidth="1"/>
    <col min="10508" max="10508" width="7.875" style="1" customWidth="1"/>
    <col min="10509" max="10509" width="17.375" style="1" customWidth="1"/>
    <col min="10510" max="10510" width="14.625" style="1" customWidth="1"/>
    <col min="10511" max="10511" width="8.5" style="1" customWidth="1"/>
    <col min="10512" max="10512" width="11" style="1"/>
    <col min="10513" max="10513" width="10.125" style="1" bestFit="1" customWidth="1"/>
    <col min="10514" max="10752" width="11" style="1"/>
    <col min="10753" max="10753" width="16" style="1" customWidth="1"/>
    <col min="10754" max="10754" width="49.625" style="1" customWidth="1"/>
    <col min="10755" max="10755" width="15.25" style="1" customWidth="1"/>
    <col min="10756" max="10762" width="14.625" style="1" customWidth="1"/>
    <col min="10763" max="10763" width="0" style="1" hidden="1" customWidth="1"/>
    <col min="10764" max="10764" width="7.875" style="1" customWidth="1"/>
    <col min="10765" max="10765" width="17.375" style="1" customWidth="1"/>
    <col min="10766" max="10766" width="14.625" style="1" customWidth="1"/>
    <col min="10767" max="10767" width="8.5" style="1" customWidth="1"/>
    <col min="10768" max="10768" width="11" style="1"/>
    <col min="10769" max="10769" width="10.125" style="1" bestFit="1" customWidth="1"/>
    <col min="10770" max="11008" width="11" style="1"/>
    <col min="11009" max="11009" width="16" style="1" customWidth="1"/>
    <col min="11010" max="11010" width="49.625" style="1" customWidth="1"/>
    <col min="11011" max="11011" width="15.25" style="1" customWidth="1"/>
    <col min="11012" max="11018" width="14.625" style="1" customWidth="1"/>
    <col min="11019" max="11019" width="0" style="1" hidden="1" customWidth="1"/>
    <col min="11020" max="11020" width="7.875" style="1" customWidth="1"/>
    <col min="11021" max="11021" width="17.375" style="1" customWidth="1"/>
    <col min="11022" max="11022" width="14.625" style="1" customWidth="1"/>
    <col min="11023" max="11023" width="8.5" style="1" customWidth="1"/>
    <col min="11024" max="11024" width="11" style="1"/>
    <col min="11025" max="11025" width="10.125" style="1" bestFit="1" customWidth="1"/>
    <col min="11026" max="11264" width="11" style="1"/>
    <col min="11265" max="11265" width="16" style="1" customWidth="1"/>
    <col min="11266" max="11266" width="49.625" style="1" customWidth="1"/>
    <col min="11267" max="11267" width="15.25" style="1" customWidth="1"/>
    <col min="11268" max="11274" width="14.625" style="1" customWidth="1"/>
    <col min="11275" max="11275" width="0" style="1" hidden="1" customWidth="1"/>
    <col min="11276" max="11276" width="7.875" style="1" customWidth="1"/>
    <col min="11277" max="11277" width="17.375" style="1" customWidth="1"/>
    <col min="11278" max="11278" width="14.625" style="1" customWidth="1"/>
    <col min="11279" max="11279" width="8.5" style="1" customWidth="1"/>
    <col min="11280" max="11280" width="11" style="1"/>
    <col min="11281" max="11281" width="10.125" style="1" bestFit="1" customWidth="1"/>
    <col min="11282" max="11520" width="11" style="1"/>
    <col min="11521" max="11521" width="16" style="1" customWidth="1"/>
    <col min="11522" max="11522" width="49.625" style="1" customWidth="1"/>
    <col min="11523" max="11523" width="15.25" style="1" customWidth="1"/>
    <col min="11524" max="11530" width="14.625" style="1" customWidth="1"/>
    <col min="11531" max="11531" width="0" style="1" hidden="1" customWidth="1"/>
    <col min="11532" max="11532" width="7.875" style="1" customWidth="1"/>
    <col min="11533" max="11533" width="17.375" style="1" customWidth="1"/>
    <col min="11534" max="11534" width="14.625" style="1" customWidth="1"/>
    <col min="11535" max="11535" width="8.5" style="1" customWidth="1"/>
    <col min="11536" max="11536" width="11" style="1"/>
    <col min="11537" max="11537" width="10.125" style="1" bestFit="1" customWidth="1"/>
    <col min="11538" max="11776" width="11" style="1"/>
    <col min="11777" max="11777" width="16" style="1" customWidth="1"/>
    <col min="11778" max="11778" width="49.625" style="1" customWidth="1"/>
    <col min="11779" max="11779" width="15.25" style="1" customWidth="1"/>
    <col min="11780" max="11786" width="14.625" style="1" customWidth="1"/>
    <col min="11787" max="11787" width="0" style="1" hidden="1" customWidth="1"/>
    <col min="11788" max="11788" width="7.875" style="1" customWidth="1"/>
    <col min="11789" max="11789" width="17.375" style="1" customWidth="1"/>
    <col min="11790" max="11790" width="14.625" style="1" customWidth="1"/>
    <col min="11791" max="11791" width="8.5" style="1" customWidth="1"/>
    <col min="11792" max="11792" width="11" style="1"/>
    <col min="11793" max="11793" width="10.125" style="1" bestFit="1" customWidth="1"/>
    <col min="11794" max="12032" width="11" style="1"/>
    <col min="12033" max="12033" width="16" style="1" customWidth="1"/>
    <col min="12034" max="12034" width="49.625" style="1" customWidth="1"/>
    <col min="12035" max="12035" width="15.25" style="1" customWidth="1"/>
    <col min="12036" max="12042" width="14.625" style="1" customWidth="1"/>
    <col min="12043" max="12043" width="0" style="1" hidden="1" customWidth="1"/>
    <col min="12044" max="12044" width="7.875" style="1" customWidth="1"/>
    <col min="12045" max="12045" width="17.375" style="1" customWidth="1"/>
    <col min="12046" max="12046" width="14.625" style="1" customWidth="1"/>
    <col min="12047" max="12047" width="8.5" style="1" customWidth="1"/>
    <col min="12048" max="12048" width="11" style="1"/>
    <col min="12049" max="12049" width="10.125" style="1" bestFit="1" customWidth="1"/>
    <col min="12050" max="12288" width="11" style="1"/>
    <col min="12289" max="12289" width="16" style="1" customWidth="1"/>
    <col min="12290" max="12290" width="49.625" style="1" customWidth="1"/>
    <col min="12291" max="12291" width="15.25" style="1" customWidth="1"/>
    <col min="12292" max="12298" width="14.625" style="1" customWidth="1"/>
    <col min="12299" max="12299" width="0" style="1" hidden="1" customWidth="1"/>
    <col min="12300" max="12300" width="7.875" style="1" customWidth="1"/>
    <col min="12301" max="12301" width="17.375" style="1" customWidth="1"/>
    <col min="12302" max="12302" width="14.625" style="1" customWidth="1"/>
    <col min="12303" max="12303" width="8.5" style="1" customWidth="1"/>
    <col min="12304" max="12304" width="11" style="1"/>
    <col min="12305" max="12305" width="10.125" style="1" bestFit="1" customWidth="1"/>
    <col min="12306" max="12544" width="11" style="1"/>
    <col min="12545" max="12545" width="16" style="1" customWidth="1"/>
    <col min="12546" max="12546" width="49.625" style="1" customWidth="1"/>
    <col min="12547" max="12547" width="15.25" style="1" customWidth="1"/>
    <col min="12548" max="12554" width="14.625" style="1" customWidth="1"/>
    <col min="12555" max="12555" width="0" style="1" hidden="1" customWidth="1"/>
    <col min="12556" max="12556" width="7.875" style="1" customWidth="1"/>
    <col min="12557" max="12557" width="17.375" style="1" customWidth="1"/>
    <col min="12558" max="12558" width="14.625" style="1" customWidth="1"/>
    <col min="12559" max="12559" width="8.5" style="1" customWidth="1"/>
    <col min="12560" max="12560" width="11" style="1"/>
    <col min="12561" max="12561" width="10.125" style="1" bestFit="1" customWidth="1"/>
    <col min="12562" max="12800" width="11" style="1"/>
    <col min="12801" max="12801" width="16" style="1" customWidth="1"/>
    <col min="12802" max="12802" width="49.625" style="1" customWidth="1"/>
    <col min="12803" max="12803" width="15.25" style="1" customWidth="1"/>
    <col min="12804" max="12810" width="14.625" style="1" customWidth="1"/>
    <col min="12811" max="12811" width="0" style="1" hidden="1" customWidth="1"/>
    <col min="12812" max="12812" width="7.875" style="1" customWidth="1"/>
    <col min="12813" max="12813" width="17.375" style="1" customWidth="1"/>
    <col min="12814" max="12814" width="14.625" style="1" customWidth="1"/>
    <col min="12815" max="12815" width="8.5" style="1" customWidth="1"/>
    <col min="12816" max="12816" width="11" style="1"/>
    <col min="12817" max="12817" width="10.125" style="1" bestFit="1" customWidth="1"/>
    <col min="12818" max="13056" width="11" style="1"/>
    <col min="13057" max="13057" width="16" style="1" customWidth="1"/>
    <col min="13058" max="13058" width="49.625" style="1" customWidth="1"/>
    <col min="13059" max="13059" width="15.25" style="1" customWidth="1"/>
    <col min="13060" max="13066" width="14.625" style="1" customWidth="1"/>
    <col min="13067" max="13067" width="0" style="1" hidden="1" customWidth="1"/>
    <col min="13068" max="13068" width="7.875" style="1" customWidth="1"/>
    <col min="13069" max="13069" width="17.375" style="1" customWidth="1"/>
    <col min="13070" max="13070" width="14.625" style="1" customWidth="1"/>
    <col min="13071" max="13071" width="8.5" style="1" customWidth="1"/>
    <col min="13072" max="13072" width="11" style="1"/>
    <col min="13073" max="13073" width="10.125" style="1" bestFit="1" customWidth="1"/>
    <col min="13074" max="13312" width="11" style="1"/>
    <col min="13313" max="13313" width="16" style="1" customWidth="1"/>
    <col min="13314" max="13314" width="49.625" style="1" customWidth="1"/>
    <col min="13315" max="13315" width="15.25" style="1" customWidth="1"/>
    <col min="13316" max="13322" width="14.625" style="1" customWidth="1"/>
    <col min="13323" max="13323" width="0" style="1" hidden="1" customWidth="1"/>
    <col min="13324" max="13324" width="7.875" style="1" customWidth="1"/>
    <col min="13325" max="13325" width="17.375" style="1" customWidth="1"/>
    <col min="13326" max="13326" width="14.625" style="1" customWidth="1"/>
    <col min="13327" max="13327" width="8.5" style="1" customWidth="1"/>
    <col min="13328" max="13328" width="11" style="1"/>
    <col min="13329" max="13329" width="10.125" style="1" bestFit="1" customWidth="1"/>
    <col min="13330" max="13568" width="11" style="1"/>
    <col min="13569" max="13569" width="16" style="1" customWidth="1"/>
    <col min="13570" max="13570" width="49.625" style="1" customWidth="1"/>
    <col min="13571" max="13571" width="15.25" style="1" customWidth="1"/>
    <col min="13572" max="13578" width="14.625" style="1" customWidth="1"/>
    <col min="13579" max="13579" width="0" style="1" hidden="1" customWidth="1"/>
    <col min="13580" max="13580" width="7.875" style="1" customWidth="1"/>
    <col min="13581" max="13581" width="17.375" style="1" customWidth="1"/>
    <col min="13582" max="13582" width="14.625" style="1" customWidth="1"/>
    <col min="13583" max="13583" width="8.5" style="1" customWidth="1"/>
    <col min="13584" max="13584" width="11" style="1"/>
    <col min="13585" max="13585" width="10.125" style="1" bestFit="1" customWidth="1"/>
    <col min="13586" max="13824" width="11" style="1"/>
    <col min="13825" max="13825" width="16" style="1" customWidth="1"/>
    <col min="13826" max="13826" width="49.625" style="1" customWidth="1"/>
    <col min="13827" max="13827" width="15.25" style="1" customWidth="1"/>
    <col min="13828" max="13834" width="14.625" style="1" customWidth="1"/>
    <col min="13835" max="13835" width="0" style="1" hidden="1" customWidth="1"/>
    <col min="13836" max="13836" width="7.875" style="1" customWidth="1"/>
    <col min="13837" max="13837" width="17.375" style="1" customWidth="1"/>
    <col min="13838" max="13838" width="14.625" style="1" customWidth="1"/>
    <col min="13839" max="13839" width="8.5" style="1" customWidth="1"/>
    <col min="13840" max="13840" width="11" style="1"/>
    <col min="13841" max="13841" width="10.125" style="1" bestFit="1" customWidth="1"/>
    <col min="13842" max="14080" width="11" style="1"/>
    <col min="14081" max="14081" width="16" style="1" customWidth="1"/>
    <col min="14082" max="14082" width="49.625" style="1" customWidth="1"/>
    <col min="14083" max="14083" width="15.25" style="1" customWidth="1"/>
    <col min="14084" max="14090" width="14.625" style="1" customWidth="1"/>
    <col min="14091" max="14091" width="0" style="1" hidden="1" customWidth="1"/>
    <col min="14092" max="14092" width="7.875" style="1" customWidth="1"/>
    <col min="14093" max="14093" width="17.375" style="1" customWidth="1"/>
    <col min="14094" max="14094" width="14.625" style="1" customWidth="1"/>
    <col min="14095" max="14095" width="8.5" style="1" customWidth="1"/>
    <col min="14096" max="14096" width="11" style="1"/>
    <col min="14097" max="14097" width="10.125" style="1" bestFit="1" customWidth="1"/>
    <col min="14098" max="14336" width="11" style="1"/>
    <col min="14337" max="14337" width="16" style="1" customWidth="1"/>
    <col min="14338" max="14338" width="49.625" style="1" customWidth="1"/>
    <col min="14339" max="14339" width="15.25" style="1" customWidth="1"/>
    <col min="14340" max="14346" width="14.625" style="1" customWidth="1"/>
    <col min="14347" max="14347" width="0" style="1" hidden="1" customWidth="1"/>
    <col min="14348" max="14348" width="7.875" style="1" customWidth="1"/>
    <col min="14349" max="14349" width="17.375" style="1" customWidth="1"/>
    <col min="14350" max="14350" width="14.625" style="1" customWidth="1"/>
    <col min="14351" max="14351" width="8.5" style="1" customWidth="1"/>
    <col min="14352" max="14352" width="11" style="1"/>
    <col min="14353" max="14353" width="10.125" style="1" bestFit="1" customWidth="1"/>
    <col min="14354" max="14592" width="11" style="1"/>
    <col min="14593" max="14593" width="16" style="1" customWidth="1"/>
    <col min="14594" max="14594" width="49.625" style="1" customWidth="1"/>
    <col min="14595" max="14595" width="15.25" style="1" customWidth="1"/>
    <col min="14596" max="14602" width="14.625" style="1" customWidth="1"/>
    <col min="14603" max="14603" width="0" style="1" hidden="1" customWidth="1"/>
    <col min="14604" max="14604" width="7.875" style="1" customWidth="1"/>
    <col min="14605" max="14605" width="17.375" style="1" customWidth="1"/>
    <col min="14606" max="14606" width="14.625" style="1" customWidth="1"/>
    <col min="14607" max="14607" width="8.5" style="1" customWidth="1"/>
    <col min="14608" max="14608" width="11" style="1"/>
    <col min="14609" max="14609" width="10.125" style="1" bestFit="1" customWidth="1"/>
    <col min="14610" max="14848" width="11" style="1"/>
    <col min="14849" max="14849" width="16" style="1" customWidth="1"/>
    <col min="14850" max="14850" width="49.625" style="1" customWidth="1"/>
    <col min="14851" max="14851" width="15.25" style="1" customWidth="1"/>
    <col min="14852" max="14858" width="14.625" style="1" customWidth="1"/>
    <col min="14859" max="14859" width="0" style="1" hidden="1" customWidth="1"/>
    <col min="14860" max="14860" width="7.875" style="1" customWidth="1"/>
    <col min="14861" max="14861" width="17.375" style="1" customWidth="1"/>
    <col min="14862" max="14862" width="14.625" style="1" customWidth="1"/>
    <col min="14863" max="14863" width="8.5" style="1" customWidth="1"/>
    <col min="14864" max="14864" width="11" style="1"/>
    <col min="14865" max="14865" width="10.125" style="1" bestFit="1" customWidth="1"/>
    <col min="14866" max="15104" width="11" style="1"/>
    <col min="15105" max="15105" width="16" style="1" customWidth="1"/>
    <col min="15106" max="15106" width="49.625" style="1" customWidth="1"/>
    <col min="15107" max="15107" width="15.25" style="1" customWidth="1"/>
    <col min="15108" max="15114" width="14.625" style="1" customWidth="1"/>
    <col min="15115" max="15115" width="0" style="1" hidden="1" customWidth="1"/>
    <col min="15116" max="15116" width="7.875" style="1" customWidth="1"/>
    <col min="15117" max="15117" width="17.375" style="1" customWidth="1"/>
    <col min="15118" max="15118" width="14.625" style="1" customWidth="1"/>
    <col min="15119" max="15119" width="8.5" style="1" customWidth="1"/>
    <col min="15120" max="15120" width="11" style="1"/>
    <col min="15121" max="15121" width="10.125" style="1" bestFit="1" customWidth="1"/>
    <col min="15122" max="15360" width="11" style="1"/>
    <col min="15361" max="15361" width="16" style="1" customWidth="1"/>
    <col min="15362" max="15362" width="49.625" style="1" customWidth="1"/>
    <col min="15363" max="15363" width="15.25" style="1" customWidth="1"/>
    <col min="15364" max="15370" width="14.625" style="1" customWidth="1"/>
    <col min="15371" max="15371" width="0" style="1" hidden="1" customWidth="1"/>
    <col min="15372" max="15372" width="7.875" style="1" customWidth="1"/>
    <col min="15373" max="15373" width="17.375" style="1" customWidth="1"/>
    <col min="15374" max="15374" width="14.625" style="1" customWidth="1"/>
    <col min="15375" max="15375" width="8.5" style="1" customWidth="1"/>
    <col min="15376" max="15376" width="11" style="1"/>
    <col min="15377" max="15377" width="10.125" style="1" bestFit="1" customWidth="1"/>
    <col min="15378" max="15616" width="11" style="1"/>
    <col min="15617" max="15617" width="16" style="1" customWidth="1"/>
    <col min="15618" max="15618" width="49.625" style="1" customWidth="1"/>
    <col min="15619" max="15619" width="15.25" style="1" customWidth="1"/>
    <col min="15620" max="15626" width="14.625" style="1" customWidth="1"/>
    <col min="15627" max="15627" width="0" style="1" hidden="1" customWidth="1"/>
    <col min="15628" max="15628" width="7.875" style="1" customWidth="1"/>
    <col min="15629" max="15629" width="17.375" style="1" customWidth="1"/>
    <col min="15630" max="15630" width="14.625" style="1" customWidth="1"/>
    <col min="15631" max="15631" width="8.5" style="1" customWidth="1"/>
    <col min="15632" max="15632" width="11" style="1"/>
    <col min="15633" max="15633" width="10.125" style="1" bestFit="1" customWidth="1"/>
    <col min="15634" max="15872" width="11" style="1"/>
    <col min="15873" max="15873" width="16" style="1" customWidth="1"/>
    <col min="15874" max="15874" width="49.625" style="1" customWidth="1"/>
    <col min="15875" max="15875" width="15.25" style="1" customWidth="1"/>
    <col min="15876" max="15882" width="14.625" style="1" customWidth="1"/>
    <col min="15883" max="15883" width="0" style="1" hidden="1" customWidth="1"/>
    <col min="15884" max="15884" width="7.875" style="1" customWidth="1"/>
    <col min="15885" max="15885" width="17.375" style="1" customWidth="1"/>
    <col min="15886" max="15886" width="14.625" style="1" customWidth="1"/>
    <col min="15887" max="15887" width="8.5" style="1" customWidth="1"/>
    <col min="15888" max="15888" width="11" style="1"/>
    <col min="15889" max="15889" width="10.125" style="1" bestFit="1" customWidth="1"/>
    <col min="15890" max="16128" width="11" style="1"/>
    <col min="16129" max="16129" width="16" style="1" customWidth="1"/>
    <col min="16130" max="16130" width="49.625" style="1" customWidth="1"/>
    <col min="16131" max="16131" width="15.25" style="1" customWidth="1"/>
    <col min="16132" max="16138" width="14.625" style="1" customWidth="1"/>
    <col min="16139" max="16139" width="0" style="1" hidden="1" customWidth="1"/>
    <col min="16140" max="16140" width="7.875" style="1" customWidth="1"/>
    <col min="16141" max="16141" width="17.375" style="1" customWidth="1"/>
    <col min="16142" max="16142" width="14.625" style="1" customWidth="1"/>
    <col min="16143" max="16143" width="8.5" style="1" customWidth="1"/>
    <col min="16144" max="16144" width="11" style="1"/>
    <col min="16145" max="16145" width="10.125" style="1" bestFit="1" customWidth="1"/>
    <col min="16146" max="16384" width="11" style="1"/>
  </cols>
  <sheetData>
    <row r="1" spans="1:15" ht="18" x14ac:dyDescent="0.2">
      <c r="A1" s="195" t="s">
        <v>0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</row>
    <row r="2" spans="1:15" ht="18" x14ac:dyDescent="0.25">
      <c r="A2" s="196" t="s">
        <v>1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</row>
    <row r="3" spans="1:15" ht="18" x14ac:dyDescent="0.25">
      <c r="A3" s="196" t="s">
        <v>128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</row>
    <row r="4" spans="1:15" ht="18.75" thickBot="1" x14ac:dyDescent="0.3">
      <c r="A4" s="2"/>
      <c r="B4" s="4"/>
      <c r="C4" s="4"/>
      <c r="D4" s="4"/>
      <c r="E4" s="6"/>
      <c r="F4" s="6"/>
      <c r="G4" s="4"/>
      <c r="H4" s="4"/>
      <c r="I4" s="4"/>
      <c r="J4" s="4"/>
      <c r="K4" s="4"/>
      <c r="L4" s="4"/>
      <c r="M4" s="5"/>
      <c r="N4" s="4"/>
      <c r="O4" s="3"/>
    </row>
    <row r="5" spans="1:15" ht="23.25" customHeight="1" x14ac:dyDescent="0.25">
      <c r="A5" s="47" t="s">
        <v>3</v>
      </c>
      <c r="B5" s="48" t="s">
        <v>4</v>
      </c>
      <c r="C5" s="49" t="s">
        <v>5</v>
      </c>
      <c r="D5" s="50" t="s">
        <v>6</v>
      </c>
      <c r="E5" s="51" t="s">
        <v>7</v>
      </c>
      <c r="F5" s="51" t="s">
        <v>8</v>
      </c>
      <c r="G5" s="49" t="s">
        <v>9</v>
      </c>
      <c r="H5" s="50" t="s">
        <v>10</v>
      </c>
      <c r="I5" s="51" t="s">
        <v>11</v>
      </c>
      <c r="J5" s="49" t="s">
        <v>12</v>
      </c>
      <c r="K5" s="49" t="s">
        <v>13</v>
      </c>
      <c r="L5" s="201" t="s">
        <v>14</v>
      </c>
      <c r="M5" s="52" t="s">
        <v>10</v>
      </c>
      <c r="N5" s="49" t="s">
        <v>15</v>
      </c>
      <c r="O5" s="53" t="s">
        <v>14</v>
      </c>
    </row>
    <row r="6" spans="1:15" ht="23.25" customHeight="1" thickBot="1" x14ac:dyDescent="0.3">
      <c r="A6" s="54"/>
      <c r="B6" s="55"/>
      <c r="C6" s="56" t="s">
        <v>16</v>
      </c>
      <c r="D6" s="57"/>
      <c r="E6" s="58"/>
      <c r="F6" s="58"/>
      <c r="G6" s="56" t="s">
        <v>8</v>
      </c>
      <c r="H6" s="57" t="s">
        <v>5</v>
      </c>
      <c r="I6" s="59" t="s">
        <v>17</v>
      </c>
      <c r="J6" s="56" t="s">
        <v>18</v>
      </c>
      <c r="K6" s="56" t="s">
        <v>19</v>
      </c>
      <c r="L6" s="202"/>
      <c r="M6" s="60" t="s">
        <v>19</v>
      </c>
      <c r="N6" s="56" t="s">
        <v>20</v>
      </c>
      <c r="O6" s="61"/>
    </row>
    <row r="7" spans="1:15" ht="15" x14ac:dyDescent="0.25">
      <c r="A7" s="7"/>
      <c r="B7" s="8"/>
      <c r="C7" s="9"/>
      <c r="D7" s="9"/>
      <c r="E7" s="10"/>
      <c r="F7" s="10"/>
      <c r="G7" s="9"/>
      <c r="H7" s="9"/>
      <c r="I7" s="11"/>
      <c r="J7" s="9"/>
      <c r="K7" s="9"/>
      <c r="L7" s="9"/>
      <c r="M7" s="12"/>
      <c r="N7" s="13"/>
      <c r="O7" s="14"/>
    </row>
    <row r="8" spans="1:15" s="77" customFormat="1" ht="27.75" customHeight="1" x14ac:dyDescent="0.2">
      <c r="A8" s="65" t="s">
        <v>21</v>
      </c>
      <c r="B8" s="76" t="s">
        <v>22</v>
      </c>
      <c r="C8" s="68">
        <f t="shared" ref="C8:H8" si="0">SUM(C9:C18)</f>
        <v>647432879</v>
      </c>
      <c r="D8" s="68">
        <f t="shared" si="0"/>
        <v>0</v>
      </c>
      <c r="E8" s="68">
        <f t="shared" si="0"/>
        <v>0</v>
      </c>
      <c r="F8" s="68">
        <f t="shared" si="0"/>
        <v>291507</v>
      </c>
      <c r="G8" s="68">
        <f t="shared" si="0"/>
        <v>18900000</v>
      </c>
      <c r="H8" s="68">
        <f t="shared" si="0"/>
        <v>628824386</v>
      </c>
      <c r="I8" s="68">
        <f>I9+I10+I11+I12+I13+I14+I16+I17+I18</f>
        <v>267444489.97776085</v>
      </c>
      <c r="J8" s="68">
        <f>J9+J10+J11+J12+J13+J14+J16+J17+J18</f>
        <v>55718949</v>
      </c>
      <c r="K8" s="68">
        <f>K9+K10+K11+K12+K13+K14+K16+K17+K18</f>
        <v>323163438.97776085</v>
      </c>
      <c r="L8" s="69">
        <f t="shared" ref="L8:L71" si="1">K8/H8</f>
        <v>0.5139168361987807</v>
      </c>
      <c r="M8" s="70">
        <f>I8+J8</f>
        <v>323163438.97776085</v>
      </c>
      <c r="N8" s="68">
        <f>SUM(N9:N18)</f>
        <v>305660947.02223915</v>
      </c>
      <c r="O8" s="71">
        <f t="shared" ref="O8:O39" si="2">N8/H8</f>
        <v>0.4860831638012193</v>
      </c>
    </row>
    <row r="9" spans="1:15" ht="15" x14ac:dyDescent="0.25">
      <c r="A9" s="19" t="s">
        <v>23</v>
      </c>
      <c r="B9" s="20" t="s">
        <v>24</v>
      </c>
      <c r="C9" s="21">
        <v>491332879</v>
      </c>
      <c r="D9" s="22"/>
      <c r="E9" s="23"/>
      <c r="F9" s="36"/>
      <c r="G9" s="62">
        <v>18900000</v>
      </c>
      <c r="H9" s="21">
        <f>C9-D9+E9+F9-G9</f>
        <v>472432879</v>
      </c>
      <c r="I9" s="22">
        <f>JUNIO!I9+JUNIO!J9</f>
        <v>221706073</v>
      </c>
      <c r="J9" s="43">
        <v>49562568</v>
      </c>
      <c r="K9" s="21">
        <f>SUM(I9:J9)</f>
        <v>271268641</v>
      </c>
      <c r="L9" s="16">
        <f t="shared" si="1"/>
        <v>0.57419509322508433</v>
      </c>
      <c r="M9" s="25">
        <f t="shared" ref="M9:M70" si="3">J9+I9</f>
        <v>271268641</v>
      </c>
      <c r="N9" s="26">
        <f t="shared" ref="N9:N18" si="4">H9-K9</f>
        <v>201164238</v>
      </c>
      <c r="O9" s="18">
        <f t="shared" si="2"/>
        <v>0.42580490677491561</v>
      </c>
    </row>
    <row r="10" spans="1:15" ht="15" x14ac:dyDescent="0.25">
      <c r="A10" s="19" t="s">
        <v>25</v>
      </c>
      <c r="B10" s="20" t="s">
        <v>26</v>
      </c>
      <c r="C10" s="21">
        <v>0</v>
      </c>
      <c r="D10" s="22"/>
      <c r="E10" s="23"/>
      <c r="F10" s="36"/>
      <c r="G10" s="63"/>
      <c r="H10" s="21">
        <f t="shared" ref="H10:H23" si="5">C10-D10+E10+F10-G10</f>
        <v>0</v>
      </c>
      <c r="I10" s="22">
        <f>JUNIO!I10+JUNIO!J10</f>
        <v>0</v>
      </c>
      <c r="J10" s="22">
        <v>0</v>
      </c>
      <c r="K10" s="21">
        <f t="shared" ref="K10:K23" si="6">SUM(I10:J10)</f>
        <v>0</v>
      </c>
      <c r="L10" s="16">
        <v>0</v>
      </c>
      <c r="M10" s="25">
        <f t="shared" si="3"/>
        <v>0</v>
      </c>
      <c r="N10" s="26">
        <f t="shared" si="4"/>
        <v>0</v>
      </c>
      <c r="O10" s="18">
        <v>0</v>
      </c>
    </row>
    <row r="11" spans="1:15" ht="15" x14ac:dyDescent="0.25">
      <c r="A11" s="19" t="s">
        <v>27</v>
      </c>
      <c r="B11" s="20" t="s">
        <v>28</v>
      </c>
      <c r="C11" s="21">
        <v>2300000</v>
      </c>
      <c r="D11" s="22"/>
      <c r="E11" s="23"/>
      <c r="F11" s="36"/>
      <c r="G11" s="63"/>
      <c r="H11" s="21">
        <f t="shared" si="5"/>
        <v>2300000</v>
      </c>
      <c r="I11" s="22">
        <f>JUNIO!I11+JUNIO!J11</f>
        <v>498840</v>
      </c>
      <c r="J11" s="22">
        <v>83140</v>
      </c>
      <c r="K11" s="21">
        <f t="shared" si="6"/>
        <v>581980</v>
      </c>
      <c r="L11" s="16">
        <f t="shared" si="1"/>
        <v>0.25303478260869566</v>
      </c>
      <c r="M11" s="25">
        <f t="shared" si="3"/>
        <v>581980</v>
      </c>
      <c r="N11" s="26">
        <f t="shared" si="4"/>
        <v>1718020</v>
      </c>
      <c r="O11" s="18">
        <f t="shared" si="2"/>
        <v>0.74696521739130439</v>
      </c>
    </row>
    <row r="12" spans="1:15" ht="15.75" customHeight="1" x14ac:dyDescent="0.25">
      <c r="A12" s="19" t="s">
        <v>29</v>
      </c>
      <c r="B12" s="20" t="s">
        <v>30</v>
      </c>
      <c r="C12" s="21">
        <v>1800000</v>
      </c>
      <c r="D12" s="22"/>
      <c r="E12" s="23"/>
      <c r="F12" s="36"/>
      <c r="G12" s="63"/>
      <c r="H12" s="21">
        <f t="shared" si="5"/>
        <v>1800000</v>
      </c>
      <c r="I12" s="22">
        <f>JUNIO!I12+JUNIO!J12</f>
        <v>650850</v>
      </c>
      <c r="J12" s="22">
        <v>150720</v>
      </c>
      <c r="K12" s="21">
        <f t="shared" si="6"/>
        <v>801570</v>
      </c>
      <c r="L12" s="16">
        <f t="shared" si="1"/>
        <v>0.44531666666666669</v>
      </c>
      <c r="M12" s="25">
        <f t="shared" si="3"/>
        <v>801570</v>
      </c>
      <c r="N12" s="26">
        <f t="shared" si="4"/>
        <v>998430</v>
      </c>
      <c r="O12" s="18">
        <f t="shared" si="2"/>
        <v>0.55468333333333331</v>
      </c>
    </row>
    <row r="13" spans="1:15" ht="15" x14ac:dyDescent="0.25">
      <c r="A13" s="19" t="s">
        <v>31</v>
      </c>
      <c r="B13" s="20" t="s">
        <v>32</v>
      </c>
      <c r="C13" s="21">
        <v>15000000</v>
      </c>
      <c r="D13" s="22"/>
      <c r="E13" s="23"/>
      <c r="F13" s="36"/>
      <c r="G13" s="63"/>
      <c r="H13" s="21">
        <f t="shared" si="5"/>
        <v>15000000</v>
      </c>
      <c r="I13" s="22">
        <f>JUNIO!I13+JUNIO!J13</f>
        <v>8227016</v>
      </c>
      <c r="J13" s="43">
        <v>2551909</v>
      </c>
      <c r="K13" s="21">
        <f t="shared" si="6"/>
        <v>10778925</v>
      </c>
      <c r="L13" s="16">
        <f t="shared" si="1"/>
        <v>0.71859499999999998</v>
      </c>
      <c r="M13" s="25">
        <f t="shared" si="3"/>
        <v>10778925</v>
      </c>
      <c r="N13" s="26">
        <f t="shared" si="4"/>
        <v>4221075</v>
      </c>
      <c r="O13" s="18">
        <f t="shared" si="2"/>
        <v>0.28140500000000002</v>
      </c>
    </row>
    <row r="14" spans="1:15" ht="15" x14ac:dyDescent="0.25">
      <c r="A14" s="19" t="s">
        <v>33</v>
      </c>
      <c r="B14" s="20" t="s">
        <v>34</v>
      </c>
      <c r="C14" s="21">
        <v>22000000</v>
      </c>
      <c r="D14" s="22"/>
      <c r="E14" s="23"/>
      <c r="F14" s="36"/>
      <c r="G14" s="63"/>
      <c r="H14" s="21">
        <f t="shared" si="5"/>
        <v>22000000</v>
      </c>
      <c r="I14" s="22">
        <f>JUNIO!I14+JUNIO!J14</f>
        <v>21003068</v>
      </c>
      <c r="J14" s="44">
        <v>0</v>
      </c>
      <c r="K14" s="21">
        <f t="shared" si="6"/>
        <v>21003068</v>
      </c>
      <c r="L14" s="16">
        <f t="shared" si="1"/>
        <v>0.95468490909090908</v>
      </c>
      <c r="M14" s="25">
        <f t="shared" si="3"/>
        <v>21003068</v>
      </c>
      <c r="N14" s="26">
        <f t="shared" si="4"/>
        <v>996932</v>
      </c>
      <c r="O14" s="18">
        <f t="shared" si="2"/>
        <v>4.5315090909090909E-2</v>
      </c>
    </row>
    <row r="15" spans="1:15" ht="15" x14ac:dyDescent="0.25">
      <c r="A15" s="19">
        <v>45</v>
      </c>
      <c r="B15" s="20" t="s">
        <v>34</v>
      </c>
      <c r="C15" s="21">
        <v>0</v>
      </c>
      <c r="D15" s="22"/>
      <c r="E15" s="23"/>
      <c r="F15" s="36">
        <v>291507</v>
      </c>
      <c r="G15" s="63"/>
      <c r="H15" s="21">
        <f t="shared" si="5"/>
        <v>291507</v>
      </c>
      <c r="I15" s="22">
        <v>0</v>
      </c>
      <c r="J15" s="44">
        <v>0</v>
      </c>
      <c r="K15" s="21"/>
      <c r="L15" s="16"/>
      <c r="M15" s="25">
        <f t="shared" si="3"/>
        <v>0</v>
      </c>
      <c r="N15" s="26">
        <f t="shared" si="4"/>
        <v>291507</v>
      </c>
      <c r="O15" s="18">
        <f t="shared" si="2"/>
        <v>1</v>
      </c>
    </row>
    <row r="16" spans="1:15" ht="15" x14ac:dyDescent="0.25">
      <c r="A16" s="19" t="s">
        <v>35</v>
      </c>
      <c r="B16" s="20" t="s">
        <v>36</v>
      </c>
      <c r="C16" s="21">
        <v>33000000</v>
      </c>
      <c r="D16" s="22"/>
      <c r="E16" s="23"/>
      <c r="F16" s="36"/>
      <c r="G16" s="63"/>
      <c r="H16" s="21">
        <f t="shared" si="5"/>
        <v>33000000</v>
      </c>
      <c r="I16" s="22">
        <f>JUNIO!I15+JUNIO!J15</f>
        <v>5245227</v>
      </c>
      <c r="J16" s="43">
        <v>1300873</v>
      </c>
      <c r="K16" s="21">
        <f t="shared" si="6"/>
        <v>6546100</v>
      </c>
      <c r="L16" s="16">
        <f t="shared" si="1"/>
        <v>0.19836666666666666</v>
      </c>
      <c r="M16" s="25">
        <f t="shared" si="3"/>
        <v>6546100</v>
      </c>
      <c r="N16" s="26">
        <f t="shared" si="4"/>
        <v>26453900</v>
      </c>
      <c r="O16" s="18">
        <f t="shared" si="2"/>
        <v>0.80163333333333331</v>
      </c>
    </row>
    <row r="17" spans="1:15" ht="15" x14ac:dyDescent="0.25">
      <c r="A17" s="28">
        <v>2020110109</v>
      </c>
      <c r="B17" s="20" t="s">
        <v>37</v>
      </c>
      <c r="C17" s="21">
        <v>44000000</v>
      </c>
      <c r="D17" s="22"/>
      <c r="E17" s="23"/>
      <c r="F17" s="36"/>
      <c r="G17" s="63"/>
      <c r="H17" s="21">
        <f t="shared" si="5"/>
        <v>44000000</v>
      </c>
      <c r="I17" s="22">
        <f>JUNIO!I16+JUNIO!J16</f>
        <v>9758489.9777608663</v>
      </c>
      <c r="J17" s="43">
        <v>2069739</v>
      </c>
      <c r="K17" s="21">
        <f>SUM(I17:J17)</f>
        <v>11828228.977760866</v>
      </c>
      <c r="L17" s="16">
        <f t="shared" si="1"/>
        <v>0.26882338585820148</v>
      </c>
      <c r="M17" s="25">
        <f t="shared" si="3"/>
        <v>11828228.977760866</v>
      </c>
      <c r="N17" s="26">
        <f t="shared" si="4"/>
        <v>32171771.022239134</v>
      </c>
      <c r="O17" s="18">
        <f t="shared" si="2"/>
        <v>0.73117661414179846</v>
      </c>
    </row>
    <row r="18" spans="1:15" ht="15" x14ac:dyDescent="0.25">
      <c r="A18" s="28">
        <v>2020110108</v>
      </c>
      <c r="B18" s="20" t="s">
        <v>38</v>
      </c>
      <c r="C18" s="21">
        <v>38000000</v>
      </c>
      <c r="D18" s="22"/>
      <c r="E18" s="23"/>
      <c r="F18" s="36"/>
      <c r="G18" s="63"/>
      <c r="H18" s="21">
        <f t="shared" si="5"/>
        <v>38000000</v>
      </c>
      <c r="I18" s="22">
        <f>JUNIO!I17+JUNIO!J17</f>
        <v>354926</v>
      </c>
      <c r="J18" s="43">
        <v>0</v>
      </c>
      <c r="K18" s="21">
        <f t="shared" si="6"/>
        <v>354926</v>
      </c>
      <c r="L18" s="16">
        <f t="shared" si="1"/>
        <v>9.3401578947368419E-3</v>
      </c>
      <c r="M18" s="25">
        <f t="shared" si="3"/>
        <v>354926</v>
      </c>
      <c r="N18" s="26">
        <f t="shared" si="4"/>
        <v>37645074</v>
      </c>
      <c r="O18" s="18">
        <f t="shared" si="2"/>
        <v>0.99065984210526314</v>
      </c>
    </row>
    <row r="19" spans="1:15" s="72" customFormat="1" ht="27.75" customHeight="1" x14ac:dyDescent="0.2">
      <c r="A19" s="65" t="s">
        <v>39</v>
      </c>
      <c r="B19" s="76" t="s">
        <v>40</v>
      </c>
      <c r="C19" s="68">
        <f t="shared" ref="C19:G19" si="7">SUM(C20:C23)</f>
        <v>20000000</v>
      </c>
      <c r="D19" s="68">
        <f t="shared" si="7"/>
        <v>0</v>
      </c>
      <c r="E19" s="68">
        <f t="shared" si="7"/>
        <v>9000000</v>
      </c>
      <c r="F19" s="68">
        <f t="shared" si="7"/>
        <v>15400000</v>
      </c>
      <c r="G19" s="68">
        <f t="shared" si="7"/>
        <v>0</v>
      </c>
      <c r="H19" s="68">
        <f>SUM(H20:H23)</f>
        <v>44400000</v>
      </c>
      <c r="I19" s="68">
        <f>SUM(I20:I23)</f>
        <v>38600000</v>
      </c>
      <c r="J19" s="68">
        <f>J20+J22+J23+J21</f>
        <v>0</v>
      </c>
      <c r="K19" s="68">
        <f t="shared" ref="K19" si="8">K20+K22+K23</f>
        <v>20000000</v>
      </c>
      <c r="L19" s="69">
        <f t="shared" si="1"/>
        <v>0.45045045045045046</v>
      </c>
      <c r="M19" s="75">
        <f t="shared" si="3"/>
        <v>38600000</v>
      </c>
      <c r="N19" s="75">
        <f>SUM(N20:N23)</f>
        <v>5800000</v>
      </c>
      <c r="O19" s="71">
        <f t="shared" si="2"/>
        <v>0.13063063063063063</v>
      </c>
    </row>
    <row r="20" spans="1:15" ht="15" x14ac:dyDescent="0.25">
      <c r="A20" s="19" t="s">
        <v>41</v>
      </c>
      <c r="B20" s="30" t="s">
        <v>42</v>
      </c>
      <c r="C20" s="31">
        <v>20000000</v>
      </c>
      <c r="D20" s="22"/>
      <c r="E20" s="23"/>
      <c r="F20" s="36"/>
      <c r="G20" s="63"/>
      <c r="H20" s="21">
        <f t="shared" si="5"/>
        <v>20000000</v>
      </c>
      <c r="I20" s="22">
        <f>JUNIO!I19+JUNIO!J19</f>
        <v>20000000</v>
      </c>
      <c r="J20" s="22">
        <v>0</v>
      </c>
      <c r="K20" s="21">
        <f t="shared" si="6"/>
        <v>20000000</v>
      </c>
      <c r="L20" s="16">
        <f t="shared" si="1"/>
        <v>1</v>
      </c>
      <c r="M20" s="25">
        <f t="shared" si="3"/>
        <v>20000000</v>
      </c>
      <c r="N20" s="26">
        <f>H20-K20</f>
        <v>0</v>
      </c>
      <c r="O20" s="18">
        <f>N20/H20</f>
        <v>0</v>
      </c>
    </row>
    <row r="21" spans="1:15" ht="15" x14ac:dyDescent="0.25">
      <c r="A21" s="19">
        <v>45</v>
      </c>
      <c r="B21" s="30" t="s">
        <v>42</v>
      </c>
      <c r="C21" s="31"/>
      <c r="D21" s="22"/>
      <c r="E21" s="23">
        <v>9000000</v>
      </c>
      <c r="F21" s="36">
        <v>15400000</v>
      </c>
      <c r="G21" s="63"/>
      <c r="H21" s="21">
        <f t="shared" si="5"/>
        <v>24400000</v>
      </c>
      <c r="I21" s="22">
        <f>JUNIO!I20+JUNIO!J20</f>
        <v>18600000</v>
      </c>
      <c r="J21" s="22">
        <v>0</v>
      </c>
      <c r="K21" s="21">
        <f t="shared" si="6"/>
        <v>18600000</v>
      </c>
      <c r="L21" s="16">
        <f t="shared" si="1"/>
        <v>0.76229508196721307</v>
      </c>
      <c r="M21" s="25">
        <f t="shared" si="3"/>
        <v>18600000</v>
      </c>
      <c r="N21" s="26">
        <f>H21-K21</f>
        <v>5800000</v>
      </c>
      <c r="O21" s="18">
        <f>N21/H21</f>
        <v>0.23770491803278687</v>
      </c>
    </row>
    <row r="22" spans="1:15" ht="15" x14ac:dyDescent="0.25">
      <c r="A22" s="19" t="s">
        <v>43</v>
      </c>
      <c r="B22" s="20" t="s">
        <v>44</v>
      </c>
      <c r="C22" s="32">
        <v>0</v>
      </c>
      <c r="D22" s="22"/>
      <c r="E22" s="23"/>
      <c r="F22" s="36"/>
      <c r="G22" s="63"/>
      <c r="H22" s="21">
        <f t="shared" si="5"/>
        <v>0</v>
      </c>
      <c r="I22" s="22">
        <f>JUNIO!I21+JUNIO!J21</f>
        <v>0</v>
      </c>
      <c r="J22" s="22">
        <v>0</v>
      </c>
      <c r="K22" s="21">
        <f t="shared" si="6"/>
        <v>0</v>
      </c>
      <c r="L22" s="16">
        <v>0</v>
      </c>
      <c r="M22" s="25">
        <f t="shared" si="3"/>
        <v>0</v>
      </c>
      <c r="N22" s="26">
        <f>H22-K22</f>
        <v>0</v>
      </c>
      <c r="O22" s="18">
        <v>0</v>
      </c>
    </row>
    <row r="23" spans="1:15" ht="15" x14ac:dyDescent="0.25">
      <c r="A23" s="19" t="s">
        <v>45</v>
      </c>
      <c r="B23" s="33" t="s">
        <v>46</v>
      </c>
      <c r="C23" s="31">
        <v>0</v>
      </c>
      <c r="D23" s="22"/>
      <c r="E23" s="23"/>
      <c r="F23" s="36"/>
      <c r="G23" s="63"/>
      <c r="H23" s="21">
        <f t="shared" si="5"/>
        <v>0</v>
      </c>
      <c r="I23" s="22">
        <f>JUNIO!I22+JUNIO!J22</f>
        <v>0</v>
      </c>
      <c r="J23" s="27">
        <v>0</v>
      </c>
      <c r="K23" s="21">
        <f t="shared" si="6"/>
        <v>0</v>
      </c>
      <c r="L23" s="16">
        <v>0</v>
      </c>
      <c r="M23" s="25">
        <f t="shared" si="3"/>
        <v>0</v>
      </c>
      <c r="N23" s="26">
        <f>H23-K23</f>
        <v>0</v>
      </c>
      <c r="O23" s="18">
        <v>0</v>
      </c>
    </row>
    <row r="24" spans="1:15" s="72" customFormat="1" ht="27.75" customHeight="1" x14ac:dyDescent="0.2">
      <c r="A24" s="65" t="s">
        <v>47</v>
      </c>
      <c r="B24" s="66" t="s">
        <v>48</v>
      </c>
      <c r="C24" s="68">
        <f t="shared" ref="C24:G24" si="9">SUM(C25:C31)</f>
        <v>26200000</v>
      </c>
      <c r="D24" s="68">
        <f t="shared" si="9"/>
        <v>0</v>
      </c>
      <c r="E24" s="68">
        <f t="shared" si="9"/>
        <v>25000000</v>
      </c>
      <c r="F24" s="68">
        <f t="shared" si="9"/>
        <v>3800000</v>
      </c>
      <c r="G24" s="68">
        <f t="shared" si="9"/>
        <v>15884952</v>
      </c>
      <c r="H24" s="68">
        <f>SUM(H25:H31)</f>
        <v>39115048</v>
      </c>
      <c r="I24" s="68">
        <f t="shared" ref="I24:J24" si="10">SUM(I25:I31)</f>
        <v>28181140</v>
      </c>
      <c r="J24" s="68">
        <f t="shared" si="10"/>
        <v>1075849</v>
      </c>
      <c r="K24" s="68">
        <f t="shared" ref="K24" si="11">K25+K27+K29+K31</f>
        <v>21585000</v>
      </c>
      <c r="L24" s="69">
        <f t="shared" si="1"/>
        <v>0.55183365747116042</v>
      </c>
      <c r="M24" s="75">
        <f t="shared" si="3"/>
        <v>29256989</v>
      </c>
      <c r="N24" s="68">
        <f t="shared" ref="N24" si="12">SUM(N25:N31)</f>
        <v>9858059</v>
      </c>
      <c r="O24" s="71">
        <f t="shared" si="2"/>
        <v>0.25202727604987218</v>
      </c>
    </row>
    <row r="25" spans="1:15" ht="15" x14ac:dyDescent="0.25">
      <c r="A25" s="19" t="s">
        <v>49</v>
      </c>
      <c r="B25" s="33" t="s">
        <v>50</v>
      </c>
      <c r="C25" s="31">
        <v>0</v>
      </c>
      <c r="D25" s="22"/>
      <c r="E25" s="23"/>
      <c r="F25" s="36">
        <v>2000000</v>
      </c>
      <c r="G25" s="63"/>
      <c r="H25" s="21">
        <f t="shared" ref="H25:H31" si="13">C25-D25+E25+F25-G25</f>
        <v>2000000</v>
      </c>
      <c r="I25" s="22">
        <f>JUNIO!I24+JUNIO!J24</f>
        <v>1585000</v>
      </c>
      <c r="J25" s="27">
        <v>0</v>
      </c>
      <c r="K25" s="21">
        <f t="shared" ref="K25:K67" si="14">SUM(I25:J25)</f>
        <v>1585000</v>
      </c>
      <c r="L25" s="16">
        <v>0</v>
      </c>
      <c r="M25" s="17">
        <f t="shared" si="3"/>
        <v>1585000</v>
      </c>
      <c r="N25" s="26">
        <f t="shared" ref="N25:N31" si="15">H25-K25</f>
        <v>415000</v>
      </c>
      <c r="O25" s="18">
        <v>0</v>
      </c>
    </row>
    <row r="26" spans="1:15" ht="15" x14ac:dyDescent="0.25">
      <c r="A26" s="19">
        <v>45</v>
      </c>
      <c r="B26" s="33" t="s">
        <v>50</v>
      </c>
      <c r="C26" s="31">
        <v>0</v>
      </c>
      <c r="D26" s="22"/>
      <c r="E26" s="23"/>
      <c r="F26" s="36">
        <v>1000000</v>
      </c>
      <c r="G26" s="63"/>
      <c r="H26" s="21">
        <f t="shared" si="13"/>
        <v>1000000</v>
      </c>
      <c r="I26" s="22">
        <f>JUNIO!I25+JUNIO!J25</f>
        <v>0</v>
      </c>
      <c r="J26" s="27">
        <v>0</v>
      </c>
      <c r="K26" s="21"/>
      <c r="L26" s="16">
        <v>0</v>
      </c>
      <c r="M26" s="17">
        <f t="shared" si="3"/>
        <v>0</v>
      </c>
      <c r="N26" s="26">
        <f t="shared" si="15"/>
        <v>1000000</v>
      </c>
      <c r="O26" s="18">
        <v>0</v>
      </c>
    </row>
    <row r="27" spans="1:15" ht="15" x14ac:dyDescent="0.25">
      <c r="A27" s="19" t="s">
        <v>51</v>
      </c>
      <c r="B27" s="34" t="s">
        <v>52</v>
      </c>
      <c r="C27" s="31">
        <v>25000000</v>
      </c>
      <c r="D27" s="22"/>
      <c r="E27" s="23">
        <v>0</v>
      </c>
      <c r="F27" s="36"/>
      <c r="G27" s="63">
        <v>5000000</v>
      </c>
      <c r="H27" s="21">
        <f t="shared" si="13"/>
        <v>20000000</v>
      </c>
      <c r="I27" s="22">
        <f>JUNIO!I26+JUNIO!J26</f>
        <v>20000000</v>
      </c>
      <c r="J27" s="22"/>
      <c r="K27" s="21">
        <f t="shared" si="14"/>
        <v>20000000</v>
      </c>
      <c r="L27" s="16">
        <f t="shared" si="1"/>
        <v>1</v>
      </c>
      <c r="M27" s="25">
        <f t="shared" si="3"/>
        <v>20000000</v>
      </c>
      <c r="N27" s="26">
        <f t="shared" si="15"/>
        <v>0</v>
      </c>
      <c r="O27" s="35">
        <f t="shared" si="2"/>
        <v>0</v>
      </c>
    </row>
    <row r="28" spans="1:15" ht="15" x14ac:dyDescent="0.25">
      <c r="A28" s="19">
        <v>45</v>
      </c>
      <c r="B28" s="34" t="s">
        <v>52</v>
      </c>
      <c r="C28" s="31"/>
      <c r="D28" s="22"/>
      <c r="E28" s="23">
        <v>25000000</v>
      </c>
      <c r="F28" s="36"/>
      <c r="G28" s="63">
        <f>9280000+1604952</f>
        <v>10884952</v>
      </c>
      <c r="H28" s="21">
        <f t="shared" si="13"/>
        <v>14115048</v>
      </c>
      <c r="I28" s="22">
        <f>JUNIO!I27+JUNIO!J27</f>
        <v>6596140</v>
      </c>
      <c r="J28" s="22">
        <v>1075849</v>
      </c>
      <c r="K28" s="21">
        <f t="shared" si="14"/>
        <v>7671989</v>
      </c>
      <c r="L28" s="16"/>
      <c r="M28" s="25">
        <f t="shared" si="3"/>
        <v>7671989</v>
      </c>
      <c r="N28" s="26">
        <f t="shared" si="15"/>
        <v>6443059</v>
      </c>
      <c r="O28" s="35"/>
    </row>
    <row r="29" spans="1:15" ht="15" x14ac:dyDescent="0.25">
      <c r="A29" s="19" t="s">
        <v>53</v>
      </c>
      <c r="B29" s="33" t="s">
        <v>54</v>
      </c>
      <c r="C29" s="32">
        <v>1200000</v>
      </c>
      <c r="D29" s="22"/>
      <c r="E29" s="23"/>
      <c r="F29" s="36"/>
      <c r="G29" s="64"/>
      <c r="H29" s="21">
        <f t="shared" si="13"/>
        <v>1200000</v>
      </c>
      <c r="I29" s="22">
        <f>JUNIO!I28+JUNIO!J28</f>
        <v>0</v>
      </c>
      <c r="J29" s="22"/>
      <c r="K29" s="21">
        <f t="shared" si="14"/>
        <v>0</v>
      </c>
      <c r="L29" s="16">
        <f t="shared" si="1"/>
        <v>0</v>
      </c>
      <c r="M29" s="17">
        <f t="shared" si="3"/>
        <v>0</v>
      </c>
      <c r="N29" s="26">
        <f t="shared" si="15"/>
        <v>1200000</v>
      </c>
      <c r="O29" s="35">
        <f>N29/H29</f>
        <v>1</v>
      </c>
    </row>
    <row r="30" spans="1:15" ht="15" x14ac:dyDescent="0.25">
      <c r="A30" s="19">
        <v>45</v>
      </c>
      <c r="B30" s="33" t="s">
        <v>54</v>
      </c>
      <c r="C30" s="32">
        <v>0</v>
      </c>
      <c r="D30" s="22"/>
      <c r="E30" s="23"/>
      <c r="F30" s="36">
        <v>800000</v>
      </c>
      <c r="G30" s="64"/>
      <c r="H30" s="21">
        <f t="shared" si="13"/>
        <v>800000</v>
      </c>
      <c r="I30" s="22">
        <v>0</v>
      </c>
      <c r="J30" s="22">
        <v>0</v>
      </c>
      <c r="K30" s="21"/>
      <c r="L30" s="16"/>
      <c r="M30" s="17">
        <f t="shared" si="3"/>
        <v>0</v>
      </c>
      <c r="N30" s="26">
        <f t="shared" si="15"/>
        <v>800000</v>
      </c>
      <c r="O30" s="35">
        <f>N30/H30</f>
        <v>1</v>
      </c>
    </row>
    <row r="31" spans="1:15" ht="15" x14ac:dyDescent="0.25">
      <c r="A31" s="19" t="s">
        <v>55</v>
      </c>
      <c r="B31" s="33" t="s">
        <v>56</v>
      </c>
      <c r="C31" s="32">
        <v>0</v>
      </c>
      <c r="D31" s="22"/>
      <c r="E31" s="23"/>
      <c r="F31" s="36"/>
      <c r="G31" s="63"/>
      <c r="H31" s="21">
        <f t="shared" si="13"/>
        <v>0</v>
      </c>
      <c r="I31" s="22">
        <f>JUNIO!I29+JUNIO!J29</f>
        <v>0</v>
      </c>
      <c r="J31" s="22"/>
      <c r="K31" s="21">
        <f t="shared" si="14"/>
        <v>0</v>
      </c>
      <c r="L31" s="16">
        <v>0</v>
      </c>
      <c r="M31" s="17">
        <f t="shared" si="3"/>
        <v>0</v>
      </c>
      <c r="N31" s="26">
        <f t="shared" si="15"/>
        <v>0</v>
      </c>
      <c r="O31" s="35">
        <v>0</v>
      </c>
    </row>
    <row r="32" spans="1:15" s="72" customFormat="1" ht="27.75" customHeight="1" x14ac:dyDescent="0.2">
      <c r="A32" s="65" t="s">
        <v>57</v>
      </c>
      <c r="B32" s="66" t="s">
        <v>58</v>
      </c>
      <c r="C32" s="68">
        <f t="shared" ref="C32:J32" si="16">SUM(C33:C51)</f>
        <v>119922165</v>
      </c>
      <c r="D32" s="68">
        <f t="shared" si="16"/>
        <v>0</v>
      </c>
      <c r="E32" s="68">
        <f t="shared" si="16"/>
        <v>47431604</v>
      </c>
      <c r="F32" s="68">
        <f t="shared" si="16"/>
        <v>38893445</v>
      </c>
      <c r="G32" s="68">
        <f t="shared" si="16"/>
        <v>23600000</v>
      </c>
      <c r="H32" s="68">
        <f t="shared" si="16"/>
        <v>182647214</v>
      </c>
      <c r="I32" s="68">
        <f t="shared" si="16"/>
        <v>105074161</v>
      </c>
      <c r="J32" s="68">
        <f t="shared" si="16"/>
        <v>8376005</v>
      </c>
      <c r="K32" s="68">
        <f>K33+K35+K37+K38+K39+K40+K41+K42+K43+K45+K46+K47+K48</f>
        <v>96212827</v>
      </c>
      <c r="L32" s="69">
        <f t="shared" si="1"/>
        <v>0.52676865358592329</v>
      </c>
      <c r="M32" s="70">
        <f>I32+J32</f>
        <v>113450166</v>
      </c>
      <c r="N32" s="75">
        <f>SUM(N33:N51)</f>
        <v>69197048</v>
      </c>
      <c r="O32" s="71">
        <f t="shared" si="2"/>
        <v>0.37885630163512923</v>
      </c>
    </row>
    <row r="33" spans="1:15" ht="15" x14ac:dyDescent="0.25">
      <c r="A33" s="19" t="s">
        <v>59</v>
      </c>
      <c r="B33" s="33" t="s">
        <v>60</v>
      </c>
      <c r="C33" s="31">
        <v>10000000</v>
      </c>
      <c r="D33" s="22"/>
      <c r="E33" s="23">
        <v>0</v>
      </c>
      <c r="F33" s="36">
        <v>2500000</v>
      </c>
      <c r="G33" s="63"/>
      <c r="H33" s="21">
        <f t="shared" ref="H33:H51" si="17">C33-D33+E33+F33-G33</f>
        <v>12500000</v>
      </c>
      <c r="I33" s="22">
        <f>JUNIO!I31+JUNIO!J31</f>
        <v>12500000</v>
      </c>
      <c r="J33" s="22">
        <v>0</v>
      </c>
      <c r="K33" s="21">
        <f t="shared" si="14"/>
        <v>12500000</v>
      </c>
      <c r="L33" s="16">
        <f t="shared" si="1"/>
        <v>1</v>
      </c>
      <c r="M33" s="25">
        <f t="shared" si="3"/>
        <v>12500000</v>
      </c>
      <c r="N33" s="26">
        <f t="shared" ref="N33:N47" si="18">H33-K33</f>
        <v>0</v>
      </c>
      <c r="O33" s="35">
        <f t="shared" si="2"/>
        <v>0</v>
      </c>
    </row>
    <row r="34" spans="1:15" ht="15" x14ac:dyDescent="0.25">
      <c r="A34" s="19">
        <v>45</v>
      </c>
      <c r="B34" s="33" t="s">
        <v>60</v>
      </c>
      <c r="C34" s="31"/>
      <c r="D34" s="22"/>
      <c r="E34" s="23">
        <v>15000000</v>
      </c>
      <c r="F34" s="36"/>
      <c r="G34" s="63">
        <v>8000000</v>
      </c>
      <c r="H34" s="21">
        <f t="shared" si="17"/>
        <v>7000000</v>
      </c>
      <c r="I34" s="22">
        <f>JUNIO!I32+JUNIO!J32</f>
        <v>1236891</v>
      </c>
      <c r="J34" s="22">
        <v>834000</v>
      </c>
      <c r="K34" s="21">
        <f t="shared" si="14"/>
        <v>2070891</v>
      </c>
      <c r="L34" s="16">
        <f t="shared" si="1"/>
        <v>0.29584157142857143</v>
      </c>
      <c r="M34" s="25">
        <f t="shared" si="3"/>
        <v>2070891</v>
      </c>
      <c r="N34" s="26">
        <f t="shared" si="18"/>
        <v>4929109</v>
      </c>
      <c r="O34" s="35">
        <f t="shared" si="2"/>
        <v>0.70415842857142852</v>
      </c>
    </row>
    <row r="35" spans="1:15" ht="15" x14ac:dyDescent="0.25">
      <c r="A35" s="19" t="s">
        <v>61</v>
      </c>
      <c r="B35" s="33" t="s">
        <v>62</v>
      </c>
      <c r="C35" s="31">
        <v>25000000</v>
      </c>
      <c r="D35" s="22"/>
      <c r="E35" s="23">
        <v>0</v>
      </c>
      <c r="F35" s="36">
        <f>30000000+5000000</f>
        <v>35000000</v>
      </c>
      <c r="G35" s="63"/>
      <c r="H35" s="21">
        <f t="shared" si="17"/>
        <v>60000000</v>
      </c>
      <c r="I35" s="22">
        <f>JUNIO!I33+JUNIO!J33</f>
        <v>60000000</v>
      </c>
      <c r="J35" s="22">
        <v>0</v>
      </c>
      <c r="K35" s="21">
        <f t="shared" si="14"/>
        <v>60000000</v>
      </c>
      <c r="L35" s="16">
        <f t="shared" si="1"/>
        <v>1</v>
      </c>
      <c r="M35" s="25">
        <f>J35+I35</f>
        <v>60000000</v>
      </c>
      <c r="N35" s="26">
        <f t="shared" si="18"/>
        <v>0</v>
      </c>
      <c r="O35" s="35">
        <f t="shared" si="2"/>
        <v>0</v>
      </c>
    </row>
    <row r="36" spans="1:15" ht="15" x14ac:dyDescent="0.25">
      <c r="A36" s="19">
        <v>45</v>
      </c>
      <c r="B36" s="33" t="s">
        <v>62</v>
      </c>
      <c r="C36" s="31"/>
      <c r="D36" s="22"/>
      <c r="E36" s="23">
        <v>32431604</v>
      </c>
      <c r="F36" s="36"/>
      <c r="G36" s="63"/>
      <c r="H36" s="21">
        <f t="shared" si="17"/>
        <v>32431604</v>
      </c>
      <c r="I36" s="22">
        <f>JUNIO!I34+JUNIO!J34</f>
        <v>10895415</v>
      </c>
      <c r="J36" s="22">
        <v>4271033</v>
      </c>
      <c r="K36" s="21">
        <f t="shared" si="14"/>
        <v>15166448</v>
      </c>
      <c r="L36" s="16">
        <f t="shared" si="1"/>
        <v>0.46764409185558631</v>
      </c>
      <c r="M36" s="25">
        <f>J36+I36</f>
        <v>15166448</v>
      </c>
      <c r="N36" s="26">
        <f t="shared" si="18"/>
        <v>17265156</v>
      </c>
      <c r="O36" s="35">
        <f t="shared" si="2"/>
        <v>0.53235590814441369</v>
      </c>
    </row>
    <row r="37" spans="1:15" ht="15" x14ac:dyDescent="0.25">
      <c r="A37" s="19" t="s">
        <v>63</v>
      </c>
      <c r="B37" s="33" t="s">
        <v>64</v>
      </c>
      <c r="C37" s="31">
        <v>4400000</v>
      </c>
      <c r="D37" s="22"/>
      <c r="E37" s="23"/>
      <c r="F37" s="36"/>
      <c r="G37" s="63">
        <v>2000000</v>
      </c>
      <c r="H37" s="21">
        <f t="shared" si="17"/>
        <v>2400000</v>
      </c>
      <c r="I37" s="22">
        <f>JUNIO!I35+JUNIO!J35</f>
        <v>1307000</v>
      </c>
      <c r="J37" s="43">
        <v>494000</v>
      </c>
      <c r="K37" s="21">
        <f t="shared" si="14"/>
        <v>1801000</v>
      </c>
      <c r="L37" s="16">
        <f t="shared" si="1"/>
        <v>0.75041666666666662</v>
      </c>
      <c r="M37" s="25">
        <f t="shared" si="3"/>
        <v>1801000</v>
      </c>
      <c r="N37" s="26">
        <f t="shared" si="18"/>
        <v>599000</v>
      </c>
      <c r="O37" s="35">
        <f t="shared" si="2"/>
        <v>0.24958333333333332</v>
      </c>
    </row>
    <row r="38" spans="1:15" ht="15" x14ac:dyDescent="0.25">
      <c r="A38" s="19" t="s">
        <v>65</v>
      </c>
      <c r="B38" s="33" t="s">
        <v>66</v>
      </c>
      <c r="C38" s="32">
        <v>10000000</v>
      </c>
      <c r="D38" s="22"/>
      <c r="E38" s="23"/>
      <c r="F38" s="36"/>
      <c r="G38" s="63"/>
      <c r="H38" s="21">
        <f t="shared" si="17"/>
        <v>10000000</v>
      </c>
      <c r="I38" s="22">
        <f>JUNIO!I36+JUNIO!J36</f>
        <v>6325802</v>
      </c>
      <c r="J38" s="43">
        <v>716900</v>
      </c>
      <c r="K38" s="21">
        <f t="shared" si="14"/>
        <v>7042702</v>
      </c>
      <c r="L38" s="16">
        <f t="shared" si="1"/>
        <v>0.70427019999999996</v>
      </c>
      <c r="M38" s="25">
        <f t="shared" si="3"/>
        <v>7042702</v>
      </c>
      <c r="N38" s="26">
        <f t="shared" si="18"/>
        <v>2957298</v>
      </c>
      <c r="O38" s="18">
        <f t="shared" si="2"/>
        <v>0.29572979999999999</v>
      </c>
    </row>
    <row r="39" spans="1:15" ht="15" x14ac:dyDescent="0.25">
      <c r="A39" s="19" t="s">
        <v>67</v>
      </c>
      <c r="B39" s="33" t="s">
        <v>68</v>
      </c>
      <c r="C39" s="32">
        <v>4800000</v>
      </c>
      <c r="D39" s="22"/>
      <c r="E39" s="23"/>
      <c r="F39" s="36"/>
      <c r="G39" s="63"/>
      <c r="H39" s="21">
        <f t="shared" si="17"/>
        <v>4800000</v>
      </c>
      <c r="I39" s="22">
        <f>JUNIO!I37+JUNIO!J37</f>
        <v>3172333</v>
      </c>
      <c r="J39" s="43">
        <f>602902-40000</f>
        <v>562902</v>
      </c>
      <c r="K39" s="21">
        <f t="shared" si="14"/>
        <v>3735235</v>
      </c>
      <c r="L39" s="16">
        <f t="shared" si="1"/>
        <v>0.77817395833333336</v>
      </c>
      <c r="M39" s="25">
        <f t="shared" si="3"/>
        <v>3735235</v>
      </c>
      <c r="N39" s="26">
        <f t="shared" si="18"/>
        <v>1064765</v>
      </c>
      <c r="O39" s="18">
        <f t="shared" si="2"/>
        <v>0.22182604166666667</v>
      </c>
    </row>
    <row r="40" spans="1:15" ht="15" x14ac:dyDescent="0.25">
      <c r="A40" s="19" t="s">
        <v>69</v>
      </c>
      <c r="B40" s="33" t="s">
        <v>70</v>
      </c>
      <c r="C40" s="32">
        <v>3200000</v>
      </c>
      <c r="D40" s="22"/>
      <c r="E40" s="23"/>
      <c r="F40" s="36"/>
      <c r="G40" s="63"/>
      <c r="H40" s="21">
        <f t="shared" si="17"/>
        <v>3200000</v>
      </c>
      <c r="I40" s="22">
        <f>JUNIO!I38+JUNIO!J38</f>
        <v>666720</v>
      </c>
      <c r="J40" s="27">
        <v>69170</v>
      </c>
      <c r="K40" s="21">
        <f t="shared" si="14"/>
        <v>735890</v>
      </c>
      <c r="L40" s="16">
        <f t="shared" si="1"/>
        <v>0.22996562500000001</v>
      </c>
      <c r="M40" s="25">
        <f t="shared" si="3"/>
        <v>735890</v>
      </c>
      <c r="N40" s="26">
        <f t="shared" si="18"/>
        <v>2464110</v>
      </c>
      <c r="O40" s="18">
        <v>0</v>
      </c>
    </row>
    <row r="41" spans="1:15" ht="15" x14ac:dyDescent="0.25">
      <c r="A41" s="19" t="s">
        <v>71</v>
      </c>
      <c r="B41" s="34" t="s">
        <v>72</v>
      </c>
      <c r="C41" s="32">
        <v>3822165</v>
      </c>
      <c r="D41" s="22"/>
      <c r="E41" s="23"/>
      <c r="F41" s="36"/>
      <c r="G41" s="63"/>
      <c r="H41" s="21">
        <f t="shared" si="17"/>
        <v>3822165</v>
      </c>
      <c r="I41" s="22">
        <f>JUNIO!I39+JUNIO!J39</f>
        <v>0</v>
      </c>
      <c r="J41" s="22"/>
      <c r="K41" s="21">
        <f t="shared" si="14"/>
        <v>0</v>
      </c>
      <c r="L41" s="16">
        <f t="shared" si="1"/>
        <v>0</v>
      </c>
      <c r="M41" s="25">
        <f t="shared" si="3"/>
        <v>0</v>
      </c>
      <c r="N41" s="26">
        <f t="shared" si="18"/>
        <v>3822165</v>
      </c>
      <c r="O41" s="18">
        <f t="shared" ref="O41:O71" si="19">N41/H41</f>
        <v>1</v>
      </c>
    </row>
    <row r="42" spans="1:15" ht="15" x14ac:dyDescent="0.25">
      <c r="A42" s="19" t="s">
        <v>73</v>
      </c>
      <c r="B42" s="33" t="s">
        <v>74</v>
      </c>
      <c r="C42" s="32">
        <v>0</v>
      </c>
      <c r="D42" s="22"/>
      <c r="E42" s="23"/>
      <c r="F42" s="38"/>
      <c r="G42" s="63"/>
      <c r="H42" s="21">
        <f t="shared" si="17"/>
        <v>0</v>
      </c>
      <c r="I42" s="22">
        <f>JUNIO!I40+JUNIO!J40</f>
        <v>0</v>
      </c>
      <c r="J42" s="22"/>
      <c r="K42" s="21">
        <f t="shared" si="14"/>
        <v>0</v>
      </c>
      <c r="L42" s="16">
        <v>0</v>
      </c>
      <c r="M42" s="25">
        <f t="shared" si="3"/>
        <v>0</v>
      </c>
      <c r="N42" s="26">
        <f t="shared" si="18"/>
        <v>0</v>
      </c>
      <c r="O42" s="18">
        <v>0</v>
      </c>
    </row>
    <row r="43" spans="1:15" ht="15" x14ac:dyDescent="0.25">
      <c r="A43" s="19" t="s">
        <v>75</v>
      </c>
      <c r="B43" s="33" t="s">
        <v>76</v>
      </c>
      <c r="C43" s="32">
        <v>11000000</v>
      </c>
      <c r="D43" s="22"/>
      <c r="E43" s="23"/>
      <c r="F43" s="36"/>
      <c r="G43" s="63">
        <v>3600000</v>
      </c>
      <c r="H43" s="21">
        <f t="shared" si="17"/>
        <v>7400000</v>
      </c>
      <c r="I43" s="22">
        <f>JUNIO!I41+JUNIO!J41</f>
        <v>7400000</v>
      </c>
      <c r="J43" s="45"/>
      <c r="K43" s="21">
        <f t="shared" si="14"/>
        <v>7400000</v>
      </c>
      <c r="L43" s="16">
        <f t="shared" si="1"/>
        <v>1</v>
      </c>
      <c r="M43" s="25">
        <f t="shared" si="3"/>
        <v>7400000</v>
      </c>
      <c r="N43" s="26">
        <f t="shared" si="18"/>
        <v>0</v>
      </c>
      <c r="O43" s="18">
        <f t="shared" si="19"/>
        <v>0</v>
      </c>
    </row>
    <row r="44" spans="1:15" ht="15" x14ac:dyDescent="0.25">
      <c r="A44" s="19">
        <v>45</v>
      </c>
      <c r="B44" s="33" t="s">
        <v>76</v>
      </c>
      <c r="C44" s="32">
        <v>0</v>
      </c>
      <c r="D44" s="22"/>
      <c r="E44" s="23"/>
      <c r="F44" s="36">
        <v>513445</v>
      </c>
      <c r="G44" s="63"/>
      <c r="H44" s="21">
        <f t="shared" si="17"/>
        <v>513445</v>
      </c>
      <c r="I44" s="22">
        <v>0</v>
      </c>
      <c r="J44" s="45">
        <v>0</v>
      </c>
      <c r="K44" s="21"/>
      <c r="L44" s="16">
        <f t="shared" si="1"/>
        <v>0</v>
      </c>
      <c r="M44" s="25">
        <f t="shared" si="3"/>
        <v>0</v>
      </c>
      <c r="N44" s="26">
        <f t="shared" si="18"/>
        <v>513445</v>
      </c>
      <c r="O44" s="18">
        <f t="shared" si="19"/>
        <v>1</v>
      </c>
    </row>
    <row r="45" spans="1:15" ht="15" x14ac:dyDescent="0.25">
      <c r="A45" s="19" t="s">
        <v>77</v>
      </c>
      <c r="B45" s="34" t="s">
        <v>78</v>
      </c>
      <c r="C45" s="32">
        <v>20700000</v>
      </c>
      <c r="D45" s="22"/>
      <c r="E45" s="23"/>
      <c r="F45" s="36"/>
      <c r="G45" s="63">
        <v>10000000</v>
      </c>
      <c r="H45" s="21">
        <f t="shared" si="17"/>
        <v>10700000</v>
      </c>
      <c r="I45" s="22">
        <f>JUNIO!I42+JUNIO!J42</f>
        <v>0</v>
      </c>
      <c r="J45" s="45"/>
      <c r="K45" s="21">
        <f t="shared" si="14"/>
        <v>0</v>
      </c>
      <c r="L45" s="16">
        <f t="shared" si="1"/>
        <v>0</v>
      </c>
      <c r="M45" s="25">
        <f t="shared" si="3"/>
        <v>0</v>
      </c>
      <c r="N45" s="26">
        <f t="shared" si="18"/>
        <v>10700000</v>
      </c>
      <c r="O45" s="35">
        <f t="shared" si="19"/>
        <v>1</v>
      </c>
    </row>
    <row r="46" spans="1:15" ht="15" x14ac:dyDescent="0.25">
      <c r="A46" s="19" t="s">
        <v>79</v>
      </c>
      <c r="B46" s="33" t="s">
        <v>80</v>
      </c>
      <c r="C46" s="32">
        <v>3000000</v>
      </c>
      <c r="D46" s="22"/>
      <c r="E46" s="23"/>
      <c r="F46" s="36"/>
      <c r="G46" s="63"/>
      <c r="H46" s="21">
        <f t="shared" si="17"/>
        <v>3000000</v>
      </c>
      <c r="I46" s="22">
        <f>JUNIO!I43+JUNIO!J43</f>
        <v>1570000</v>
      </c>
      <c r="J46" s="45">
        <v>1428000</v>
      </c>
      <c r="K46" s="21">
        <f t="shared" si="14"/>
        <v>2998000</v>
      </c>
      <c r="L46" s="16">
        <f t="shared" si="1"/>
        <v>0.9993333333333333</v>
      </c>
      <c r="M46" s="25">
        <f t="shared" si="3"/>
        <v>2998000</v>
      </c>
      <c r="N46" s="26">
        <f t="shared" si="18"/>
        <v>2000</v>
      </c>
      <c r="O46" s="35">
        <f t="shared" si="19"/>
        <v>6.6666666666666664E-4</v>
      </c>
    </row>
    <row r="47" spans="1:15" ht="15" x14ac:dyDescent="0.25">
      <c r="A47" s="19" t="s">
        <v>81</v>
      </c>
      <c r="B47" s="33" t="s">
        <v>82</v>
      </c>
      <c r="C47" s="32">
        <v>20000000</v>
      </c>
      <c r="D47" s="22"/>
      <c r="E47" s="23"/>
      <c r="F47" s="36"/>
      <c r="G47" s="63"/>
      <c r="H47" s="21">
        <f t="shared" si="17"/>
        <v>20000000</v>
      </c>
      <c r="I47" s="22">
        <f>JUNIO!I44+JUNIO!J44</f>
        <v>0</v>
      </c>
      <c r="J47" s="22">
        <v>0</v>
      </c>
      <c r="K47" s="21">
        <f t="shared" si="14"/>
        <v>0</v>
      </c>
      <c r="L47" s="16">
        <f t="shared" si="1"/>
        <v>0</v>
      </c>
      <c r="M47" s="25">
        <f t="shared" si="3"/>
        <v>0</v>
      </c>
      <c r="N47" s="26">
        <f t="shared" si="18"/>
        <v>20000000</v>
      </c>
      <c r="O47" s="18">
        <f t="shared" si="19"/>
        <v>1</v>
      </c>
    </row>
    <row r="48" spans="1:15" ht="15" x14ac:dyDescent="0.25">
      <c r="A48" s="19" t="s">
        <v>83</v>
      </c>
      <c r="B48" s="33" t="s">
        <v>84</v>
      </c>
      <c r="C48" s="32">
        <v>4000000</v>
      </c>
      <c r="D48" s="22"/>
      <c r="E48" s="23"/>
      <c r="F48" s="36"/>
      <c r="G48" s="63"/>
      <c r="H48" s="21">
        <f t="shared" si="17"/>
        <v>4000000</v>
      </c>
      <c r="I48" s="22">
        <f>JUNIO!I45+JUNIO!J45</f>
        <v>0</v>
      </c>
      <c r="J48" s="22">
        <v>0</v>
      </c>
      <c r="K48" s="21">
        <f t="shared" si="14"/>
        <v>0</v>
      </c>
      <c r="L48" s="16">
        <f>K48/H48</f>
        <v>0</v>
      </c>
      <c r="M48" s="25">
        <f t="shared" si="3"/>
        <v>0</v>
      </c>
      <c r="N48" s="26">
        <f>H48-K48</f>
        <v>4000000</v>
      </c>
      <c r="O48" s="18">
        <f t="shared" si="19"/>
        <v>1</v>
      </c>
    </row>
    <row r="49" spans="1:17" ht="15" x14ac:dyDescent="0.25">
      <c r="A49" s="19" t="s">
        <v>85</v>
      </c>
      <c r="B49" s="33" t="s">
        <v>86</v>
      </c>
      <c r="C49" s="32">
        <v>0</v>
      </c>
      <c r="D49" s="22"/>
      <c r="E49" s="23"/>
      <c r="F49" s="36"/>
      <c r="G49" s="63"/>
      <c r="H49" s="21">
        <f t="shared" si="17"/>
        <v>0</v>
      </c>
      <c r="I49" s="22">
        <f>JUNIO!I46+JUNIO!J46</f>
        <v>0</v>
      </c>
      <c r="J49" s="22">
        <v>0</v>
      </c>
      <c r="K49" s="21">
        <f t="shared" si="14"/>
        <v>0</v>
      </c>
      <c r="L49" s="16">
        <v>0</v>
      </c>
      <c r="M49" s="25">
        <f t="shared" si="3"/>
        <v>0</v>
      </c>
      <c r="N49" s="26">
        <f>H49-K49</f>
        <v>0</v>
      </c>
      <c r="O49" s="18">
        <v>0</v>
      </c>
    </row>
    <row r="50" spans="1:17" ht="15" x14ac:dyDescent="0.25">
      <c r="A50" s="183">
        <v>2020120215</v>
      </c>
      <c r="B50" s="33" t="s">
        <v>126</v>
      </c>
      <c r="C50" s="182">
        <v>0</v>
      </c>
      <c r="D50" s="22"/>
      <c r="E50" s="23"/>
      <c r="F50" s="36">
        <v>0</v>
      </c>
      <c r="G50" s="63"/>
      <c r="H50" s="21">
        <f t="shared" si="17"/>
        <v>0</v>
      </c>
      <c r="I50" s="22">
        <f>JUNIO!I47+JUNIO!J47</f>
        <v>0</v>
      </c>
      <c r="J50" s="22">
        <v>0</v>
      </c>
      <c r="K50" s="21">
        <f t="shared" si="14"/>
        <v>0</v>
      </c>
      <c r="L50" s="16">
        <v>0</v>
      </c>
      <c r="M50" s="25">
        <f t="shared" si="3"/>
        <v>0</v>
      </c>
      <c r="N50" s="26">
        <f>H50-K50</f>
        <v>0</v>
      </c>
      <c r="O50" s="18">
        <v>0</v>
      </c>
    </row>
    <row r="51" spans="1:17" ht="15" x14ac:dyDescent="0.25">
      <c r="A51" s="183">
        <v>45</v>
      </c>
      <c r="B51" s="33" t="s">
        <v>126</v>
      </c>
      <c r="C51" s="182">
        <v>0</v>
      </c>
      <c r="D51" s="22"/>
      <c r="E51" s="23"/>
      <c r="F51" s="36">
        <v>880000</v>
      </c>
      <c r="G51" s="63"/>
      <c r="H51" s="21">
        <f t="shared" si="17"/>
        <v>880000</v>
      </c>
      <c r="I51" s="22">
        <f>JUNIO!I48+JUNIO!J48</f>
        <v>0</v>
      </c>
      <c r="J51" s="22">
        <v>0</v>
      </c>
      <c r="K51" s="21"/>
      <c r="L51" s="16">
        <v>0</v>
      </c>
      <c r="M51" s="25">
        <f t="shared" si="3"/>
        <v>0</v>
      </c>
      <c r="N51" s="26">
        <f>H51-K51</f>
        <v>880000</v>
      </c>
      <c r="O51" s="18">
        <v>0</v>
      </c>
    </row>
    <row r="52" spans="1:17" s="72" customFormat="1" ht="27.75" customHeight="1" x14ac:dyDescent="0.2">
      <c r="A52" s="65" t="s">
        <v>87</v>
      </c>
      <c r="B52" s="82" t="s">
        <v>88</v>
      </c>
      <c r="C52" s="73">
        <f>SUM(C53:C56)</f>
        <v>115800000</v>
      </c>
      <c r="D52" s="73">
        <f t="shared" ref="D52:J52" si="20">SUM(D53:D56)</f>
        <v>0</v>
      </c>
      <c r="E52" s="73">
        <f t="shared" si="20"/>
        <v>0</v>
      </c>
      <c r="F52" s="73">
        <f t="shared" si="20"/>
        <v>0</v>
      </c>
      <c r="G52" s="73">
        <f t="shared" si="20"/>
        <v>0</v>
      </c>
      <c r="H52" s="73">
        <f t="shared" si="20"/>
        <v>115800000</v>
      </c>
      <c r="I52" s="73">
        <f t="shared" si="20"/>
        <v>50179987</v>
      </c>
      <c r="J52" s="73">
        <f t="shared" si="20"/>
        <v>9630363</v>
      </c>
      <c r="K52" s="68">
        <f t="shared" ref="K52" si="21">K53+K54+K55+K56</f>
        <v>59810350</v>
      </c>
      <c r="L52" s="69">
        <f t="shared" si="1"/>
        <v>0.51649697754749568</v>
      </c>
      <c r="M52" s="73">
        <f t="shared" si="3"/>
        <v>59810350</v>
      </c>
      <c r="N52" s="73">
        <f t="shared" ref="N52" si="22">SUM(N53:N56)</f>
        <v>55989650</v>
      </c>
      <c r="O52" s="71">
        <f t="shared" si="19"/>
        <v>0.48350302245250432</v>
      </c>
    </row>
    <row r="53" spans="1:17" ht="15" x14ac:dyDescent="0.25">
      <c r="A53" s="19" t="s">
        <v>89</v>
      </c>
      <c r="B53" s="33" t="s">
        <v>90</v>
      </c>
      <c r="C53" s="21">
        <v>33000000</v>
      </c>
      <c r="D53" s="22"/>
      <c r="E53" s="23"/>
      <c r="F53" s="36"/>
      <c r="G53" s="63"/>
      <c r="H53" s="21">
        <f>C53-D53+E53+F53-G53</f>
        <v>33000000</v>
      </c>
      <c r="I53" s="22">
        <f>JUNIO!I50+JUNIO!J50</f>
        <v>2092310</v>
      </c>
      <c r="J53" s="44">
        <v>0</v>
      </c>
      <c r="K53" s="21">
        <f t="shared" si="14"/>
        <v>2092310</v>
      </c>
      <c r="L53" s="16">
        <f t="shared" si="1"/>
        <v>6.3403333333333339E-2</v>
      </c>
      <c r="M53" s="25">
        <f t="shared" si="3"/>
        <v>2092310</v>
      </c>
      <c r="N53" s="26">
        <f>H53-K53</f>
        <v>30907690</v>
      </c>
      <c r="O53" s="18">
        <f t="shared" si="19"/>
        <v>0.93659666666666663</v>
      </c>
    </row>
    <row r="54" spans="1:17" ht="15" x14ac:dyDescent="0.25">
      <c r="A54" s="19" t="s">
        <v>91</v>
      </c>
      <c r="B54" s="33" t="s">
        <v>92</v>
      </c>
      <c r="C54" s="21">
        <v>38000000</v>
      </c>
      <c r="D54" s="22"/>
      <c r="E54" s="23"/>
      <c r="F54" s="36"/>
      <c r="G54" s="63"/>
      <c r="H54" s="21">
        <f>C54-D54+E54+F54-G54</f>
        <v>38000000</v>
      </c>
      <c r="I54" s="22">
        <f>JUNIO!I51+JUNIO!J51</f>
        <v>19399770</v>
      </c>
      <c r="J54" s="43">
        <v>4208042</v>
      </c>
      <c r="K54" s="21">
        <f t="shared" si="14"/>
        <v>23607812</v>
      </c>
      <c r="L54" s="16">
        <f t="shared" si="1"/>
        <v>0.6212582105263158</v>
      </c>
      <c r="M54" s="25">
        <f t="shared" si="3"/>
        <v>23607812</v>
      </c>
      <c r="N54" s="26">
        <f>H54-K54</f>
        <v>14392188</v>
      </c>
      <c r="O54" s="18">
        <f t="shared" si="19"/>
        <v>0.3787417894736842</v>
      </c>
      <c r="Q54" s="37"/>
    </row>
    <row r="55" spans="1:17" ht="15" x14ac:dyDescent="0.25">
      <c r="A55" s="28">
        <v>2020110304</v>
      </c>
      <c r="B55" s="33" t="s">
        <v>93</v>
      </c>
      <c r="C55" s="21">
        <v>36800000</v>
      </c>
      <c r="D55" s="22"/>
      <c r="E55" s="23"/>
      <c r="F55" s="36"/>
      <c r="G55" s="63"/>
      <c r="H55" s="21">
        <f>C55-D55+E55+F55-G55</f>
        <v>36800000</v>
      </c>
      <c r="I55" s="22">
        <f>JUNIO!I52+JUNIO!J52</f>
        <v>28124395</v>
      </c>
      <c r="J55" s="43">
        <v>5422321</v>
      </c>
      <c r="K55" s="21">
        <f t="shared" si="14"/>
        <v>33546716</v>
      </c>
      <c r="L55" s="16">
        <f t="shared" si="1"/>
        <v>0.91159554347826088</v>
      </c>
      <c r="M55" s="25">
        <f t="shared" si="3"/>
        <v>33546716</v>
      </c>
      <c r="N55" s="26">
        <f>H55-K55</f>
        <v>3253284</v>
      </c>
      <c r="O55" s="18">
        <f t="shared" si="19"/>
        <v>8.840445652173913E-2</v>
      </c>
      <c r="Q55" s="37"/>
    </row>
    <row r="56" spans="1:17" ht="15" x14ac:dyDescent="0.25">
      <c r="A56" s="28">
        <v>2020110305</v>
      </c>
      <c r="B56" s="33" t="s">
        <v>94</v>
      </c>
      <c r="C56" s="21">
        <v>8000000</v>
      </c>
      <c r="D56" s="15"/>
      <c r="E56" s="23"/>
      <c r="F56" s="36"/>
      <c r="G56" s="46"/>
      <c r="H56" s="21">
        <f>C56-D56+E56+F56-G56</f>
        <v>8000000</v>
      </c>
      <c r="I56" s="22">
        <f>JUNIO!I53+JUNIO!J53</f>
        <v>563512</v>
      </c>
      <c r="J56" s="21">
        <v>0</v>
      </c>
      <c r="K56" s="21">
        <f t="shared" si="14"/>
        <v>563512</v>
      </c>
      <c r="L56" s="16">
        <f t="shared" si="1"/>
        <v>7.0439000000000002E-2</v>
      </c>
      <c r="M56" s="25">
        <f t="shared" si="3"/>
        <v>563512</v>
      </c>
      <c r="N56" s="26">
        <f>H56-K56</f>
        <v>7436488</v>
      </c>
      <c r="O56" s="18">
        <f t="shared" si="19"/>
        <v>0.92956099999999997</v>
      </c>
      <c r="Q56" s="37"/>
    </row>
    <row r="57" spans="1:17" s="72" customFormat="1" ht="27.75" customHeight="1" x14ac:dyDescent="0.2">
      <c r="A57" s="65">
        <v>20201104</v>
      </c>
      <c r="B57" s="83" t="s">
        <v>96</v>
      </c>
      <c r="C57" s="73">
        <f>SUM(C58:C67)</f>
        <v>100800000</v>
      </c>
      <c r="D57" s="73">
        <f t="shared" ref="D57:H57" si="23">SUM(D58:D67)</f>
        <v>0</v>
      </c>
      <c r="E57" s="73">
        <f t="shared" si="23"/>
        <v>0</v>
      </c>
      <c r="F57" s="73">
        <f t="shared" si="23"/>
        <v>0</v>
      </c>
      <c r="G57" s="73">
        <f t="shared" si="23"/>
        <v>0</v>
      </c>
      <c r="H57" s="73">
        <f t="shared" si="23"/>
        <v>100800000</v>
      </c>
      <c r="I57" s="68">
        <f>SUM(I58:I67)</f>
        <v>26433300</v>
      </c>
      <c r="J57" s="68">
        <f>SUM(J58:J67)</f>
        <v>4800900</v>
      </c>
      <c r="K57" s="68">
        <f t="shared" si="14"/>
        <v>31234200</v>
      </c>
      <c r="L57" s="69">
        <f t="shared" si="1"/>
        <v>0.30986309523809524</v>
      </c>
      <c r="M57" s="70">
        <f t="shared" si="3"/>
        <v>31234200</v>
      </c>
      <c r="N57" s="75">
        <f>SUM(N58:N67)</f>
        <v>69565800</v>
      </c>
      <c r="O57" s="71">
        <f t="shared" si="19"/>
        <v>0.69013690476190481</v>
      </c>
      <c r="Q57" s="79"/>
    </row>
    <row r="58" spans="1:17" ht="15" x14ac:dyDescent="0.25">
      <c r="A58" s="78" t="s">
        <v>97</v>
      </c>
      <c r="B58" s="33" t="s">
        <v>98</v>
      </c>
      <c r="C58" s="31">
        <v>21000000</v>
      </c>
      <c r="D58" s="22"/>
      <c r="E58" s="23"/>
      <c r="F58" s="36"/>
      <c r="G58" s="63"/>
      <c r="H58" s="21">
        <f t="shared" ref="H58:H70" si="24">C58-D58+E58+F58-G58</f>
        <v>21000000</v>
      </c>
      <c r="I58" s="22">
        <f>JUNIO!I55+JUNIO!J55</f>
        <v>4435100</v>
      </c>
      <c r="J58" s="27">
        <v>0</v>
      </c>
      <c r="K58" s="21">
        <f t="shared" si="14"/>
        <v>4435100</v>
      </c>
      <c r="L58" s="16">
        <f t="shared" si="1"/>
        <v>0.2111952380952381</v>
      </c>
      <c r="M58" s="25">
        <f t="shared" si="3"/>
        <v>4435100</v>
      </c>
      <c r="N58" s="26">
        <f t="shared" ref="N58:N70" si="25">H58-K58</f>
        <v>16564900</v>
      </c>
      <c r="O58" s="18">
        <f t="shared" si="19"/>
        <v>0.7888047619047619</v>
      </c>
      <c r="Q58" s="37"/>
    </row>
    <row r="59" spans="1:17" ht="15" x14ac:dyDescent="0.25">
      <c r="A59" s="19" t="s">
        <v>99</v>
      </c>
      <c r="B59" s="33" t="s">
        <v>92</v>
      </c>
      <c r="C59" s="31">
        <v>0</v>
      </c>
      <c r="D59" s="22"/>
      <c r="E59" s="23"/>
      <c r="F59" s="36"/>
      <c r="G59" s="63"/>
      <c r="H59" s="21">
        <f t="shared" si="24"/>
        <v>0</v>
      </c>
      <c r="I59" s="22">
        <f>JUNIO!I56+JUNIO!J56</f>
        <v>0</v>
      </c>
      <c r="J59" s="22">
        <v>0</v>
      </c>
      <c r="K59" s="21">
        <f t="shared" si="14"/>
        <v>0</v>
      </c>
      <c r="L59" s="16">
        <v>0</v>
      </c>
      <c r="M59" s="17">
        <f t="shared" si="3"/>
        <v>0</v>
      </c>
      <c r="N59" s="26">
        <f t="shared" si="25"/>
        <v>0</v>
      </c>
      <c r="O59" s="18">
        <v>0</v>
      </c>
      <c r="Q59" s="37"/>
    </row>
    <row r="60" spans="1:17" ht="15" x14ac:dyDescent="0.25">
      <c r="A60" s="19" t="s">
        <v>100</v>
      </c>
      <c r="B60" s="33" t="s">
        <v>101</v>
      </c>
      <c r="C60" s="31">
        <v>3000000</v>
      </c>
      <c r="D60" s="22"/>
      <c r="E60" s="23"/>
      <c r="F60" s="36"/>
      <c r="G60" s="63"/>
      <c r="H60" s="21">
        <f t="shared" si="24"/>
        <v>3000000</v>
      </c>
      <c r="I60" s="22">
        <f>JUNIO!I57+JUNIO!J57</f>
        <v>1505700</v>
      </c>
      <c r="J60" s="43">
        <v>343200</v>
      </c>
      <c r="K60" s="21">
        <f t="shared" si="14"/>
        <v>1848900</v>
      </c>
      <c r="L60" s="16">
        <f t="shared" si="1"/>
        <v>0.61629999999999996</v>
      </c>
      <c r="M60" s="25">
        <f t="shared" si="3"/>
        <v>1848900</v>
      </c>
      <c r="N60" s="26">
        <f t="shared" si="25"/>
        <v>1151100</v>
      </c>
      <c r="O60" s="18">
        <f t="shared" si="19"/>
        <v>0.38369999999999999</v>
      </c>
      <c r="Q60" s="37"/>
    </row>
    <row r="61" spans="1:17" ht="15" x14ac:dyDescent="0.25">
      <c r="A61" s="19" t="s">
        <v>102</v>
      </c>
      <c r="B61" s="33" t="s">
        <v>93</v>
      </c>
      <c r="C61" s="32">
        <v>22000000</v>
      </c>
      <c r="D61" s="22"/>
      <c r="E61" s="23"/>
      <c r="F61" s="36"/>
      <c r="G61" s="63"/>
      <c r="H61" s="21">
        <f t="shared" si="24"/>
        <v>22000000</v>
      </c>
      <c r="I61" s="22">
        <f>JUNIO!I58+JUNIO!J58</f>
        <v>0</v>
      </c>
      <c r="J61" s="39">
        <v>0</v>
      </c>
      <c r="K61" s="21">
        <f t="shared" si="14"/>
        <v>0</v>
      </c>
      <c r="L61" s="16">
        <f t="shared" si="1"/>
        <v>0</v>
      </c>
      <c r="M61" s="25">
        <f t="shared" si="3"/>
        <v>0</v>
      </c>
      <c r="N61" s="26">
        <f t="shared" si="25"/>
        <v>22000000</v>
      </c>
      <c r="O61" s="18">
        <f t="shared" si="19"/>
        <v>1</v>
      </c>
      <c r="Q61" s="37"/>
    </row>
    <row r="62" spans="1:17" ht="15" x14ac:dyDescent="0.25">
      <c r="A62" s="19" t="s">
        <v>103</v>
      </c>
      <c r="B62" s="33" t="s">
        <v>104</v>
      </c>
      <c r="C62" s="32">
        <v>23000000</v>
      </c>
      <c r="D62" s="22"/>
      <c r="E62" s="23"/>
      <c r="F62" s="36"/>
      <c r="G62" s="63"/>
      <c r="H62" s="21">
        <f t="shared" si="24"/>
        <v>23000000</v>
      </c>
      <c r="I62" s="22">
        <f>JUNIO!I59+JUNIO!J59</f>
        <v>9130100</v>
      </c>
      <c r="J62" s="43">
        <v>1980400</v>
      </c>
      <c r="K62" s="21">
        <f t="shared" si="14"/>
        <v>11110500</v>
      </c>
      <c r="L62" s="16">
        <f t="shared" si="1"/>
        <v>0.48306521739130437</v>
      </c>
      <c r="M62" s="25">
        <f t="shared" si="3"/>
        <v>11110500</v>
      </c>
      <c r="N62" s="26">
        <f t="shared" si="25"/>
        <v>11889500</v>
      </c>
      <c r="O62" s="18">
        <f t="shared" si="19"/>
        <v>0.51693478260869563</v>
      </c>
      <c r="Q62" s="37"/>
    </row>
    <row r="63" spans="1:17" ht="15" x14ac:dyDescent="0.25">
      <c r="A63" s="19" t="s">
        <v>105</v>
      </c>
      <c r="B63" s="33" t="s">
        <v>106</v>
      </c>
      <c r="C63" s="32">
        <v>19800000</v>
      </c>
      <c r="D63" s="22"/>
      <c r="E63" s="23"/>
      <c r="F63" s="36"/>
      <c r="G63" s="63"/>
      <c r="H63" s="21">
        <f t="shared" si="24"/>
        <v>19800000</v>
      </c>
      <c r="I63" s="22">
        <f>JUNIO!I60+JUNIO!J60</f>
        <v>6848600</v>
      </c>
      <c r="J63" s="43">
        <v>1485600</v>
      </c>
      <c r="K63" s="21">
        <f t="shared" si="14"/>
        <v>8334200</v>
      </c>
      <c r="L63" s="16">
        <f t="shared" si="1"/>
        <v>0.42091919191919192</v>
      </c>
      <c r="M63" s="25">
        <f t="shared" si="3"/>
        <v>8334200</v>
      </c>
      <c r="N63" s="26">
        <f t="shared" si="25"/>
        <v>11465800</v>
      </c>
      <c r="O63" s="18">
        <f t="shared" si="19"/>
        <v>0.57908080808080808</v>
      </c>
      <c r="Q63" s="37"/>
    </row>
    <row r="64" spans="1:17" ht="15" x14ac:dyDescent="0.25">
      <c r="A64" s="19" t="s">
        <v>107</v>
      </c>
      <c r="B64" s="33" t="s">
        <v>108</v>
      </c>
      <c r="C64" s="32">
        <v>3000000</v>
      </c>
      <c r="D64" s="22"/>
      <c r="E64" s="23"/>
      <c r="F64" s="36"/>
      <c r="G64" s="63"/>
      <c r="H64" s="21">
        <f t="shared" si="24"/>
        <v>3000000</v>
      </c>
      <c r="I64" s="22">
        <f>JUNIO!I61+JUNIO!J61</f>
        <v>1124400</v>
      </c>
      <c r="J64" s="43">
        <v>248100</v>
      </c>
      <c r="K64" s="21">
        <f t="shared" si="14"/>
        <v>1372500</v>
      </c>
      <c r="L64" s="16">
        <f t="shared" si="1"/>
        <v>0.45750000000000002</v>
      </c>
      <c r="M64" s="25">
        <f t="shared" si="3"/>
        <v>1372500</v>
      </c>
      <c r="N64" s="26">
        <f t="shared" si="25"/>
        <v>1627500</v>
      </c>
      <c r="O64" s="18">
        <f t="shared" si="19"/>
        <v>0.54249999999999998</v>
      </c>
      <c r="Q64" s="37"/>
    </row>
    <row r="65" spans="1:17" ht="15" x14ac:dyDescent="0.25">
      <c r="A65" s="19" t="s">
        <v>109</v>
      </c>
      <c r="B65" s="33" t="s">
        <v>110</v>
      </c>
      <c r="C65" s="32">
        <v>3000000</v>
      </c>
      <c r="D65" s="22"/>
      <c r="E65" s="23"/>
      <c r="F65" s="36"/>
      <c r="G65" s="63"/>
      <c r="H65" s="21">
        <f t="shared" si="24"/>
        <v>3000000</v>
      </c>
      <c r="I65" s="22">
        <f>JUNIO!I62+JUNIO!J62</f>
        <v>1143800</v>
      </c>
      <c r="J65" s="43">
        <v>248100</v>
      </c>
      <c r="K65" s="21">
        <f t="shared" si="14"/>
        <v>1391900</v>
      </c>
      <c r="L65" s="16">
        <f t="shared" si="1"/>
        <v>0.46396666666666669</v>
      </c>
      <c r="M65" s="25">
        <f t="shared" si="3"/>
        <v>1391900</v>
      </c>
      <c r="N65" s="26">
        <f t="shared" si="25"/>
        <v>1608100</v>
      </c>
      <c r="O65" s="18">
        <f t="shared" si="19"/>
        <v>0.53603333333333336</v>
      </c>
      <c r="Q65" s="37"/>
    </row>
    <row r="66" spans="1:17" ht="15" x14ac:dyDescent="0.25">
      <c r="A66" s="19" t="s">
        <v>111</v>
      </c>
      <c r="B66" s="33" t="s">
        <v>112</v>
      </c>
      <c r="C66" s="32">
        <v>6000000</v>
      </c>
      <c r="D66" s="22"/>
      <c r="E66" s="23"/>
      <c r="F66" s="36"/>
      <c r="G66" s="63"/>
      <c r="H66" s="21">
        <f t="shared" si="24"/>
        <v>6000000</v>
      </c>
      <c r="I66" s="22">
        <f>JUNIO!I63+JUNIO!J63</f>
        <v>2245600</v>
      </c>
      <c r="J66" s="43">
        <v>495500</v>
      </c>
      <c r="K66" s="21">
        <f t="shared" si="14"/>
        <v>2741100</v>
      </c>
      <c r="L66" s="16">
        <f t="shared" si="1"/>
        <v>0.45684999999999998</v>
      </c>
      <c r="M66" s="25">
        <f>J66+I66</f>
        <v>2741100</v>
      </c>
      <c r="N66" s="26">
        <f t="shared" si="25"/>
        <v>3258900</v>
      </c>
      <c r="O66" s="18">
        <f t="shared" si="19"/>
        <v>0.54315000000000002</v>
      </c>
      <c r="Q66" s="37"/>
    </row>
    <row r="67" spans="1:17" ht="15" x14ac:dyDescent="0.25">
      <c r="A67" s="19" t="s">
        <v>113</v>
      </c>
      <c r="B67" s="33" t="s">
        <v>114</v>
      </c>
      <c r="C67" s="32"/>
      <c r="D67" s="22"/>
      <c r="E67" s="23"/>
      <c r="F67" s="36"/>
      <c r="G67" s="63"/>
      <c r="H67" s="21">
        <f t="shared" si="24"/>
        <v>0</v>
      </c>
      <c r="I67" s="22">
        <f>JUNIO!I64+JUNIO!J64</f>
        <v>0</v>
      </c>
      <c r="J67" s="22"/>
      <c r="K67" s="21">
        <f t="shared" si="14"/>
        <v>0</v>
      </c>
      <c r="L67" s="16">
        <v>0</v>
      </c>
      <c r="M67" s="17">
        <f t="shared" si="3"/>
        <v>0</v>
      </c>
      <c r="N67" s="26">
        <f t="shared" si="25"/>
        <v>0</v>
      </c>
      <c r="O67" s="18">
        <v>0</v>
      </c>
      <c r="Q67" s="37"/>
    </row>
    <row r="68" spans="1:17" ht="27" customHeight="1" x14ac:dyDescent="0.2">
      <c r="A68" s="180">
        <v>20201203</v>
      </c>
      <c r="B68" s="66" t="s">
        <v>123</v>
      </c>
      <c r="C68" s="73">
        <f>C69</f>
        <v>0</v>
      </c>
      <c r="D68" s="74">
        <f t="shared" ref="D68:G68" si="26">D69</f>
        <v>0</v>
      </c>
      <c r="E68" s="74">
        <f>E69+E70</f>
        <v>50000000</v>
      </c>
      <c r="F68" s="68">
        <f t="shared" si="26"/>
        <v>0</v>
      </c>
      <c r="G68" s="74">
        <f t="shared" si="26"/>
        <v>0</v>
      </c>
      <c r="H68" s="68">
        <f>SUM(H69:H70)</f>
        <v>50000000</v>
      </c>
      <c r="I68" s="68">
        <f t="shared" ref="I68:L68" si="27">I69</f>
        <v>0</v>
      </c>
      <c r="J68" s="68">
        <f t="shared" si="27"/>
        <v>0</v>
      </c>
      <c r="K68" s="68">
        <f t="shared" si="27"/>
        <v>0</v>
      </c>
      <c r="L68" s="69">
        <f t="shared" si="27"/>
        <v>0</v>
      </c>
      <c r="M68" s="70">
        <f>J68+I68</f>
        <v>0</v>
      </c>
      <c r="N68" s="75">
        <f>SUM(N69:N70)</f>
        <v>50000000</v>
      </c>
      <c r="O68" s="71">
        <f t="shared" si="19"/>
        <v>1</v>
      </c>
      <c r="Q68" s="37"/>
    </row>
    <row r="69" spans="1:17" ht="15" x14ac:dyDescent="0.25">
      <c r="A69" s="181">
        <v>2020130101</v>
      </c>
      <c r="B69" s="173" t="s">
        <v>124</v>
      </c>
      <c r="C69" s="174">
        <v>0</v>
      </c>
      <c r="D69" s="175">
        <v>0</v>
      </c>
      <c r="E69" s="176">
        <v>0</v>
      </c>
      <c r="F69" s="177"/>
      <c r="G69" s="178"/>
      <c r="H69" s="21">
        <f t="shared" si="24"/>
        <v>0</v>
      </c>
      <c r="I69" s="175">
        <v>0</v>
      </c>
      <c r="J69" s="175">
        <v>0</v>
      </c>
      <c r="K69" s="179">
        <v>0</v>
      </c>
      <c r="L69" s="16">
        <v>0</v>
      </c>
      <c r="M69" s="25">
        <f t="shared" si="3"/>
        <v>0</v>
      </c>
      <c r="N69" s="26">
        <f t="shared" si="25"/>
        <v>0</v>
      </c>
      <c r="O69" s="18">
        <v>0</v>
      </c>
      <c r="Q69" s="37"/>
    </row>
    <row r="70" spans="1:17" ht="15" x14ac:dyDescent="0.25">
      <c r="A70" s="181">
        <v>45</v>
      </c>
      <c r="B70" s="173" t="s">
        <v>124</v>
      </c>
      <c r="C70" s="174">
        <v>0</v>
      </c>
      <c r="D70" s="175">
        <v>0</v>
      </c>
      <c r="E70" s="176">
        <v>50000000</v>
      </c>
      <c r="F70" s="177">
        <v>0</v>
      </c>
      <c r="G70" s="178">
        <v>0</v>
      </c>
      <c r="H70" s="21">
        <f t="shared" si="24"/>
        <v>50000000</v>
      </c>
      <c r="I70" s="175">
        <v>0</v>
      </c>
      <c r="J70" s="175">
        <v>0</v>
      </c>
      <c r="K70" s="179">
        <v>0</v>
      </c>
      <c r="L70" s="16">
        <f t="shared" si="1"/>
        <v>0</v>
      </c>
      <c r="M70" s="25">
        <f t="shared" si="3"/>
        <v>0</v>
      </c>
      <c r="N70" s="26">
        <f t="shared" si="25"/>
        <v>50000000</v>
      </c>
      <c r="O70" s="18">
        <f t="shared" si="19"/>
        <v>1</v>
      </c>
      <c r="Q70" s="37"/>
    </row>
    <row r="71" spans="1:17" s="80" customFormat="1" ht="31.5" customHeight="1" thickBot="1" x14ac:dyDescent="0.25">
      <c r="A71" s="81"/>
      <c r="B71" s="166" t="s">
        <v>115</v>
      </c>
      <c r="C71" s="171">
        <f>C57+C52+C32+C19+C24+C8</f>
        <v>1030155044</v>
      </c>
      <c r="D71" s="167">
        <f>D9+D57</f>
        <v>0</v>
      </c>
      <c r="E71" s="167">
        <f t="shared" ref="E71:J71" si="28">E8+E19+E24+E32+E52+E57+E68</f>
        <v>131431604</v>
      </c>
      <c r="F71" s="167">
        <f t="shared" si="28"/>
        <v>58384952</v>
      </c>
      <c r="G71" s="167">
        <f t="shared" si="28"/>
        <v>58384952</v>
      </c>
      <c r="H71" s="167">
        <f t="shared" si="28"/>
        <v>1161586648</v>
      </c>
      <c r="I71" s="167">
        <f t="shared" si="28"/>
        <v>515913077.97776085</v>
      </c>
      <c r="J71" s="167">
        <f t="shared" si="28"/>
        <v>79602066</v>
      </c>
      <c r="K71" s="167">
        <f>K57+K52+K32+K24+K19+K8</f>
        <v>552005815.97776079</v>
      </c>
      <c r="L71" s="168">
        <f t="shared" si="1"/>
        <v>0.47521708081630842</v>
      </c>
      <c r="M71" s="167">
        <f>M8+M19+M24+M32+M52+M57+M68</f>
        <v>595515143.97776079</v>
      </c>
      <c r="N71" s="167">
        <f>N8+N19+N24+N32+N52+N57+N68</f>
        <v>566071504.02223921</v>
      </c>
      <c r="O71" s="170">
        <f t="shared" si="19"/>
        <v>0.48732611122630537</v>
      </c>
    </row>
    <row r="72" spans="1:17" ht="35.25" customHeight="1" thickBot="1" x14ac:dyDescent="0.3">
      <c r="A72" s="165" t="s">
        <v>118</v>
      </c>
      <c r="B72" s="192" t="s">
        <v>119</v>
      </c>
      <c r="C72" s="193"/>
      <c r="D72" s="193"/>
      <c r="E72" s="193"/>
      <c r="F72" s="193"/>
      <c r="G72" s="193"/>
      <c r="H72" s="193"/>
      <c r="I72" s="193"/>
      <c r="J72" s="193"/>
      <c r="K72" s="193"/>
      <c r="L72" s="193"/>
      <c r="M72" s="193"/>
      <c r="N72" s="193"/>
      <c r="O72" s="194"/>
      <c r="Q72" s="40"/>
    </row>
    <row r="73" spans="1:17" x14ac:dyDescent="0.2">
      <c r="K73" s="40"/>
    </row>
    <row r="74" spans="1:17" x14ac:dyDescent="0.2">
      <c r="D74" s="40"/>
      <c r="F74" s="40"/>
      <c r="G74" s="40"/>
      <c r="K74" s="40"/>
      <c r="N74" s="40"/>
    </row>
    <row r="75" spans="1:17" x14ac:dyDescent="0.2">
      <c r="G75" s="40"/>
      <c r="I75" s="40"/>
      <c r="J75" s="42"/>
      <c r="N75" s="40"/>
    </row>
    <row r="76" spans="1:17" x14ac:dyDescent="0.2">
      <c r="D76" s="40"/>
      <c r="J76" s="40"/>
      <c r="L76" s="40"/>
      <c r="N76" s="40"/>
    </row>
    <row r="77" spans="1:17" x14ac:dyDescent="0.2">
      <c r="H77" s="40"/>
      <c r="J77" s="40"/>
      <c r="N77" s="40"/>
    </row>
    <row r="78" spans="1:17" x14ac:dyDescent="0.2">
      <c r="J78" s="40"/>
    </row>
  </sheetData>
  <mergeCells count="5">
    <mergeCell ref="A1:O1"/>
    <mergeCell ref="A2:O2"/>
    <mergeCell ref="A3:O3"/>
    <mergeCell ref="L5:L6"/>
    <mergeCell ref="B72:O72"/>
  </mergeCells>
  <printOptions horizontalCentered="1" verticalCentered="1"/>
  <pageMargins left="0.23622047244094491" right="0.23622047244094491" top="0.39370078740157483" bottom="0.98425196850393704" header="0" footer="0"/>
  <pageSetup paperSize="14" scale="42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5"/>
  <sheetViews>
    <sheetView showGridLines="0" zoomScale="80" zoomScaleNormal="80" zoomScaleSheetLayoutView="80" workbookViewId="0">
      <pane xSplit="2" ySplit="7" topLeftCell="C41" activePane="bottomRight" state="frozen"/>
      <selection pane="topRight" activeCell="C1" sqref="C1"/>
      <selection pane="bottomLeft" activeCell="A8" sqref="A8"/>
      <selection pane="bottomRight" activeCell="J55" sqref="J55:J64"/>
    </sheetView>
  </sheetViews>
  <sheetFormatPr baseColWidth="10" defaultRowHeight="14.25" x14ac:dyDescent="0.2"/>
  <cols>
    <col min="1" max="1" width="16" style="1" customWidth="1"/>
    <col min="2" max="2" width="49.625" style="1" customWidth="1"/>
    <col min="3" max="3" width="21.625" style="1" customWidth="1"/>
    <col min="4" max="7" width="14.625" style="1" customWidth="1"/>
    <col min="8" max="8" width="17.875" style="1" bestFit="1" customWidth="1"/>
    <col min="9" max="9" width="20.625" style="1" bestFit="1" customWidth="1"/>
    <col min="10" max="10" width="15" style="1" bestFit="1" customWidth="1"/>
    <col min="11" max="11" width="16" style="1" hidden="1" customWidth="1"/>
    <col min="12" max="12" width="6" style="1" bestFit="1" customWidth="1"/>
    <col min="13" max="13" width="17.375" style="41" customWidth="1"/>
    <col min="14" max="14" width="15.75" style="1" bestFit="1" customWidth="1"/>
    <col min="15" max="15" width="8.5" style="1" customWidth="1"/>
    <col min="16" max="16" width="11" style="1"/>
    <col min="17" max="17" width="10.125" style="1" bestFit="1" customWidth="1"/>
    <col min="18" max="256" width="11" style="1"/>
    <col min="257" max="257" width="16" style="1" customWidth="1"/>
    <col min="258" max="258" width="49.625" style="1" customWidth="1"/>
    <col min="259" max="259" width="15.25" style="1" customWidth="1"/>
    <col min="260" max="266" width="14.625" style="1" customWidth="1"/>
    <col min="267" max="267" width="0" style="1" hidden="1" customWidth="1"/>
    <col min="268" max="268" width="7.875" style="1" customWidth="1"/>
    <col min="269" max="269" width="17.375" style="1" customWidth="1"/>
    <col min="270" max="270" width="14.625" style="1" customWidth="1"/>
    <col min="271" max="271" width="8.5" style="1" customWidth="1"/>
    <col min="272" max="272" width="11" style="1"/>
    <col min="273" max="273" width="10.125" style="1" bestFit="1" customWidth="1"/>
    <col min="274" max="512" width="11" style="1"/>
    <col min="513" max="513" width="16" style="1" customWidth="1"/>
    <col min="514" max="514" width="49.625" style="1" customWidth="1"/>
    <col min="515" max="515" width="15.25" style="1" customWidth="1"/>
    <col min="516" max="522" width="14.625" style="1" customWidth="1"/>
    <col min="523" max="523" width="0" style="1" hidden="1" customWidth="1"/>
    <col min="524" max="524" width="7.875" style="1" customWidth="1"/>
    <col min="525" max="525" width="17.375" style="1" customWidth="1"/>
    <col min="526" max="526" width="14.625" style="1" customWidth="1"/>
    <col min="527" max="527" width="8.5" style="1" customWidth="1"/>
    <col min="528" max="528" width="11" style="1"/>
    <col min="529" max="529" width="10.125" style="1" bestFit="1" customWidth="1"/>
    <col min="530" max="768" width="11" style="1"/>
    <col min="769" max="769" width="16" style="1" customWidth="1"/>
    <col min="770" max="770" width="49.625" style="1" customWidth="1"/>
    <col min="771" max="771" width="15.25" style="1" customWidth="1"/>
    <col min="772" max="778" width="14.625" style="1" customWidth="1"/>
    <col min="779" max="779" width="0" style="1" hidden="1" customWidth="1"/>
    <col min="780" max="780" width="7.875" style="1" customWidth="1"/>
    <col min="781" max="781" width="17.375" style="1" customWidth="1"/>
    <col min="782" max="782" width="14.625" style="1" customWidth="1"/>
    <col min="783" max="783" width="8.5" style="1" customWidth="1"/>
    <col min="784" max="784" width="11" style="1"/>
    <col min="785" max="785" width="10.125" style="1" bestFit="1" customWidth="1"/>
    <col min="786" max="1024" width="11" style="1"/>
    <col min="1025" max="1025" width="16" style="1" customWidth="1"/>
    <col min="1026" max="1026" width="49.625" style="1" customWidth="1"/>
    <col min="1027" max="1027" width="15.25" style="1" customWidth="1"/>
    <col min="1028" max="1034" width="14.625" style="1" customWidth="1"/>
    <col min="1035" max="1035" width="0" style="1" hidden="1" customWidth="1"/>
    <col min="1036" max="1036" width="7.875" style="1" customWidth="1"/>
    <col min="1037" max="1037" width="17.375" style="1" customWidth="1"/>
    <col min="1038" max="1038" width="14.625" style="1" customWidth="1"/>
    <col min="1039" max="1039" width="8.5" style="1" customWidth="1"/>
    <col min="1040" max="1040" width="11" style="1"/>
    <col min="1041" max="1041" width="10.125" style="1" bestFit="1" customWidth="1"/>
    <col min="1042" max="1280" width="11" style="1"/>
    <col min="1281" max="1281" width="16" style="1" customWidth="1"/>
    <col min="1282" max="1282" width="49.625" style="1" customWidth="1"/>
    <col min="1283" max="1283" width="15.25" style="1" customWidth="1"/>
    <col min="1284" max="1290" width="14.625" style="1" customWidth="1"/>
    <col min="1291" max="1291" width="0" style="1" hidden="1" customWidth="1"/>
    <col min="1292" max="1292" width="7.875" style="1" customWidth="1"/>
    <col min="1293" max="1293" width="17.375" style="1" customWidth="1"/>
    <col min="1294" max="1294" width="14.625" style="1" customWidth="1"/>
    <col min="1295" max="1295" width="8.5" style="1" customWidth="1"/>
    <col min="1296" max="1296" width="11" style="1"/>
    <col min="1297" max="1297" width="10.125" style="1" bestFit="1" customWidth="1"/>
    <col min="1298" max="1536" width="11" style="1"/>
    <col min="1537" max="1537" width="16" style="1" customWidth="1"/>
    <col min="1538" max="1538" width="49.625" style="1" customWidth="1"/>
    <col min="1539" max="1539" width="15.25" style="1" customWidth="1"/>
    <col min="1540" max="1546" width="14.625" style="1" customWidth="1"/>
    <col min="1547" max="1547" width="0" style="1" hidden="1" customWidth="1"/>
    <col min="1548" max="1548" width="7.875" style="1" customWidth="1"/>
    <col min="1549" max="1549" width="17.375" style="1" customWidth="1"/>
    <col min="1550" max="1550" width="14.625" style="1" customWidth="1"/>
    <col min="1551" max="1551" width="8.5" style="1" customWidth="1"/>
    <col min="1552" max="1552" width="11" style="1"/>
    <col min="1553" max="1553" width="10.125" style="1" bestFit="1" customWidth="1"/>
    <col min="1554" max="1792" width="11" style="1"/>
    <col min="1793" max="1793" width="16" style="1" customWidth="1"/>
    <col min="1794" max="1794" width="49.625" style="1" customWidth="1"/>
    <col min="1795" max="1795" width="15.25" style="1" customWidth="1"/>
    <col min="1796" max="1802" width="14.625" style="1" customWidth="1"/>
    <col min="1803" max="1803" width="0" style="1" hidden="1" customWidth="1"/>
    <col min="1804" max="1804" width="7.875" style="1" customWidth="1"/>
    <col min="1805" max="1805" width="17.375" style="1" customWidth="1"/>
    <col min="1806" max="1806" width="14.625" style="1" customWidth="1"/>
    <col min="1807" max="1807" width="8.5" style="1" customWidth="1"/>
    <col min="1808" max="1808" width="11" style="1"/>
    <col min="1809" max="1809" width="10.125" style="1" bestFit="1" customWidth="1"/>
    <col min="1810" max="2048" width="11" style="1"/>
    <col min="2049" max="2049" width="16" style="1" customWidth="1"/>
    <col min="2050" max="2050" width="49.625" style="1" customWidth="1"/>
    <col min="2051" max="2051" width="15.25" style="1" customWidth="1"/>
    <col min="2052" max="2058" width="14.625" style="1" customWidth="1"/>
    <col min="2059" max="2059" width="0" style="1" hidden="1" customWidth="1"/>
    <col min="2060" max="2060" width="7.875" style="1" customWidth="1"/>
    <col min="2061" max="2061" width="17.375" style="1" customWidth="1"/>
    <col min="2062" max="2062" width="14.625" style="1" customWidth="1"/>
    <col min="2063" max="2063" width="8.5" style="1" customWidth="1"/>
    <col min="2064" max="2064" width="11" style="1"/>
    <col min="2065" max="2065" width="10.125" style="1" bestFit="1" customWidth="1"/>
    <col min="2066" max="2304" width="11" style="1"/>
    <col min="2305" max="2305" width="16" style="1" customWidth="1"/>
    <col min="2306" max="2306" width="49.625" style="1" customWidth="1"/>
    <col min="2307" max="2307" width="15.25" style="1" customWidth="1"/>
    <col min="2308" max="2314" width="14.625" style="1" customWidth="1"/>
    <col min="2315" max="2315" width="0" style="1" hidden="1" customWidth="1"/>
    <col min="2316" max="2316" width="7.875" style="1" customWidth="1"/>
    <col min="2317" max="2317" width="17.375" style="1" customWidth="1"/>
    <col min="2318" max="2318" width="14.625" style="1" customWidth="1"/>
    <col min="2319" max="2319" width="8.5" style="1" customWidth="1"/>
    <col min="2320" max="2320" width="11" style="1"/>
    <col min="2321" max="2321" width="10.125" style="1" bestFit="1" customWidth="1"/>
    <col min="2322" max="2560" width="11" style="1"/>
    <col min="2561" max="2561" width="16" style="1" customWidth="1"/>
    <col min="2562" max="2562" width="49.625" style="1" customWidth="1"/>
    <col min="2563" max="2563" width="15.25" style="1" customWidth="1"/>
    <col min="2564" max="2570" width="14.625" style="1" customWidth="1"/>
    <col min="2571" max="2571" width="0" style="1" hidden="1" customWidth="1"/>
    <col min="2572" max="2572" width="7.875" style="1" customWidth="1"/>
    <col min="2573" max="2573" width="17.375" style="1" customWidth="1"/>
    <col min="2574" max="2574" width="14.625" style="1" customWidth="1"/>
    <col min="2575" max="2575" width="8.5" style="1" customWidth="1"/>
    <col min="2576" max="2576" width="11" style="1"/>
    <col min="2577" max="2577" width="10.125" style="1" bestFit="1" customWidth="1"/>
    <col min="2578" max="2816" width="11" style="1"/>
    <col min="2817" max="2817" width="16" style="1" customWidth="1"/>
    <col min="2818" max="2818" width="49.625" style="1" customWidth="1"/>
    <col min="2819" max="2819" width="15.25" style="1" customWidth="1"/>
    <col min="2820" max="2826" width="14.625" style="1" customWidth="1"/>
    <col min="2827" max="2827" width="0" style="1" hidden="1" customWidth="1"/>
    <col min="2828" max="2828" width="7.875" style="1" customWidth="1"/>
    <col min="2829" max="2829" width="17.375" style="1" customWidth="1"/>
    <col min="2830" max="2830" width="14.625" style="1" customWidth="1"/>
    <col min="2831" max="2831" width="8.5" style="1" customWidth="1"/>
    <col min="2832" max="2832" width="11" style="1"/>
    <col min="2833" max="2833" width="10.125" style="1" bestFit="1" customWidth="1"/>
    <col min="2834" max="3072" width="11" style="1"/>
    <col min="3073" max="3073" width="16" style="1" customWidth="1"/>
    <col min="3074" max="3074" width="49.625" style="1" customWidth="1"/>
    <col min="3075" max="3075" width="15.25" style="1" customWidth="1"/>
    <col min="3076" max="3082" width="14.625" style="1" customWidth="1"/>
    <col min="3083" max="3083" width="0" style="1" hidden="1" customWidth="1"/>
    <col min="3084" max="3084" width="7.875" style="1" customWidth="1"/>
    <col min="3085" max="3085" width="17.375" style="1" customWidth="1"/>
    <col min="3086" max="3086" width="14.625" style="1" customWidth="1"/>
    <col min="3087" max="3087" width="8.5" style="1" customWidth="1"/>
    <col min="3088" max="3088" width="11" style="1"/>
    <col min="3089" max="3089" width="10.125" style="1" bestFit="1" customWidth="1"/>
    <col min="3090" max="3328" width="11" style="1"/>
    <col min="3329" max="3329" width="16" style="1" customWidth="1"/>
    <col min="3330" max="3330" width="49.625" style="1" customWidth="1"/>
    <col min="3331" max="3331" width="15.25" style="1" customWidth="1"/>
    <col min="3332" max="3338" width="14.625" style="1" customWidth="1"/>
    <col min="3339" max="3339" width="0" style="1" hidden="1" customWidth="1"/>
    <col min="3340" max="3340" width="7.875" style="1" customWidth="1"/>
    <col min="3341" max="3341" width="17.375" style="1" customWidth="1"/>
    <col min="3342" max="3342" width="14.625" style="1" customWidth="1"/>
    <col min="3343" max="3343" width="8.5" style="1" customWidth="1"/>
    <col min="3344" max="3344" width="11" style="1"/>
    <col min="3345" max="3345" width="10.125" style="1" bestFit="1" customWidth="1"/>
    <col min="3346" max="3584" width="11" style="1"/>
    <col min="3585" max="3585" width="16" style="1" customWidth="1"/>
    <col min="3586" max="3586" width="49.625" style="1" customWidth="1"/>
    <col min="3587" max="3587" width="15.25" style="1" customWidth="1"/>
    <col min="3588" max="3594" width="14.625" style="1" customWidth="1"/>
    <col min="3595" max="3595" width="0" style="1" hidden="1" customWidth="1"/>
    <col min="3596" max="3596" width="7.875" style="1" customWidth="1"/>
    <col min="3597" max="3597" width="17.375" style="1" customWidth="1"/>
    <col min="3598" max="3598" width="14.625" style="1" customWidth="1"/>
    <col min="3599" max="3599" width="8.5" style="1" customWidth="1"/>
    <col min="3600" max="3600" width="11" style="1"/>
    <col min="3601" max="3601" width="10.125" style="1" bestFit="1" customWidth="1"/>
    <col min="3602" max="3840" width="11" style="1"/>
    <col min="3841" max="3841" width="16" style="1" customWidth="1"/>
    <col min="3842" max="3842" width="49.625" style="1" customWidth="1"/>
    <col min="3843" max="3843" width="15.25" style="1" customWidth="1"/>
    <col min="3844" max="3850" width="14.625" style="1" customWidth="1"/>
    <col min="3851" max="3851" width="0" style="1" hidden="1" customWidth="1"/>
    <col min="3852" max="3852" width="7.875" style="1" customWidth="1"/>
    <col min="3853" max="3853" width="17.375" style="1" customWidth="1"/>
    <col min="3854" max="3854" width="14.625" style="1" customWidth="1"/>
    <col min="3855" max="3855" width="8.5" style="1" customWidth="1"/>
    <col min="3856" max="3856" width="11" style="1"/>
    <col min="3857" max="3857" width="10.125" style="1" bestFit="1" customWidth="1"/>
    <col min="3858" max="4096" width="11" style="1"/>
    <col min="4097" max="4097" width="16" style="1" customWidth="1"/>
    <col min="4098" max="4098" width="49.625" style="1" customWidth="1"/>
    <col min="4099" max="4099" width="15.25" style="1" customWidth="1"/>
    <col min="4100" max="4106" width="14.625" style="1" customWidth="1"/>
    <col min="4107" max="4107" width="0" style="1" hidden="1" customWidth="1"/>
    <col min="4108" max="4108" width="7.875" style="1" customWidth="1"/>
    <col min="4109" max="4109" width="17.375" style="1" customWidth="1"/>
    <col min="4110" max="4110" width="14.625" style="1" customWidth="1"/>
    <col min="4111" max="4111" width="8.5" style="1" customWidth="1"/>
    <col min="4112" max="4112" width="11" style="1"/>
    <col min="4113" max="4113" width="10.125" style="1" bestFit="1" customWidth="1"/>
    <col min="4114" max="4352" width="11" style="1"/>
    <col min="4353" max="4353" width="16" style="1" customWidth="1"/>
    <col min="4354" max="4354" width="49.625" style="1" customWidth="1"/>
    <col min="4355" max="4355" width="15.25" style="1" customWidth="1"/>
    <col min="4356" max="4362" width="14.625" style="1" customWidth="1"/>
    <col min="4363" max="4363" width="0" style="1" hidden="1" customWidth="1"/>
    <col min="4364" max="4364" width="7.875" style="1" customWidth="1"/>
    <col min="4365" max="4365" width="17.375" style="1" customWidth="1"/>
    <col min="4366" max="4366" width="14.625" style="1" customWidth="1"/>
    <col min="4367" max="4367" width="8.5" style="1" customWidth="1"/>
    <col min="4368" max="4368" width="11" style="1"/>
    <col min="4369" max="4369" width="10.125" style="1" bestFit="1" customWidth="1"/>
    <col min="4370" max="4608" width="11" style="1"/>
    <col min="4609" max="4609" width="16" style="1" customWidth="1"/>
    <col min="4610" max="4610" width="49.625" style="1" customWidth="1"/>
    <col min="4611" max="4611" width="15.25" style="1" customWidth="1"/>
    <col min="4612" max="4618" width="14.625" style="1" customWidth="1"/>
    <col min="4619" max="4619" width="0" style="1" hidden="1" customWidth="1"/>
    <col min="4620" max="4620" width="7.875" style="1" customWidth="1"/>
    <col min="4621" max="4621" width="17.375" style="1" customWidth="1"/>
    <col min="4622" max="4622" width="14.625" style="1" customWidth="1"/>
    <col min="4623" max="4623" width="8.5" style="1" customWidth="1"/>
    <col min="4624" max="4624" width="11" style="1"/>
    <col min="4625" max="4625" width="10.125" style="1" bestFit="1" customWidth="1"/>
    <col min="4626" max="4864" width="11" style="1"/>
    <col min="4865" max="4865" width="16" style="1" customWidth="1"/>
    <col min="4866" max="4866" width="49.625" style="1" customWidth="1"/>
    <col min="4867" max="4867" width="15.25" style="1" customWidth="1"/>
    <col min="4868" max="4874" width="14.625" style="1" customWidth="1"/>
    <col min="4875" max="4875" width="0" style="1" hidden="1" customWidth="1"/>
    <col min="4876" max="4876" width="7.875" style="1" customWidth="1"/>
    <col min="4877" max="4877" width="17.375" style="1" customWidth="1"/>
    <col min="4878" max="4878" width="14.625" style="1" customWidth="1"/>
    <col min="4879" max="4879" width="8.5" style="1" customWidth="1"/>
    <col min="4880" max="4880" width="11" style="1"/>
    <col min="4881" max="4881" width="10.125" style="1" bestFit="1" customWidth="1"/>
    <col min="4882" max="5120" width="11" style="1"/>
    <col min="5121" max="5121" width="16" style="1" customWidth="1"/>
    <col min="5122" max="5122" width="49.625" style="1" customWidth="1"/>
    <col min="5123" max="5123" width="15.25" style="1" customWidth="1"/>
    <col min="5124" max="5130" width="14.625" style="1" customWidth="1"/>
    <col min="5131" max="5131" width="0" style="1" hidden="1" customWidth="1"/>
    <col min="5132" max="5132" width="7.875" style="1" customWidth="1"/>
    <col min="5133" max="5133" width="17.375" style="1" customWidth="1"/>
    <col min="5134" max="5134" width="14.625" style="1" customWidth="1"/>
    <col min="5135" max="5135" width="8.5" style="1" customWidth="1"/>
    <col min="5136" max="5136" width="11" style="1"/>
    <col min="5137" max="5137" width="10.125" style="1" bestFit="1" customWidth="1"/>
    <col min="5138" max="5376" width="11" style="1"/>
    <col min="5377" max="5377" width="16" style="1" customWidth="1"/>
    <col min="5378" max="5378" width="49.625" style="1" customWidth="1"/>
    <col min="5379" max="5379" width="15.25" style="1" customWidth="1"/>
    <col min="5380" max="5386" width="14.625" style="1" customWidth="1"/>
    <col min="5387" max="5387" width="0" style="1" hidden="1" customWidth="1"/>
    <col min="5388" max="5388" width="7.875" style="1" customWidth="1"/>
    <col min="5389" max="5389" width="17.375" style="1" customWidth="1"/>
    <col min="5390" max="5390" width="14.625" style="1" customWidth="1"/>
    <col min="5391" max="5391" width="8.5" style="1" customWidth="1"/>
    <col min="5392" max="5392" width="11" style="1"/>
    <col min="5393" max="5393" width="10.125" style="1" bestFit="1" customWidth="1"/>
    <col min="5394" max="5632" width="11" style="1"/>
    <col min="5633" max="5633" width="16" style="1" customWidth="1"/>
    <col min="5634" max="5634" width="49.625" style="1" customWidth="1"/>
    <col min="5635" max="5635" width="15.25" style="1" customWidth="1"/>
    <col min="5636" max="5642" width="14.625" style="1" customWidth="1"/>
    <col min="5643" max="5643" width="0" style="1" hidden="1" customWidth="1"/>
    <col min="5644" max="5644" width="7.875" style="1" customWidth="1"/>
    <col min="5645" max="5645" width="17.375" style="1" customWidth="1"/>
    <col min="5646" max="5646" width="14.625" style="1" customWidth="1"/>
    <col min="5647" max="5647" width="8.5" style="1" customWidth="1"/>
    <col min="5648" max="5648" width="11" style="1"/>
    <col min="5649" max="5649" width="10.125" style="1" bestFit="1" customWidth="1"/>
    <col min="5650" max="5888" width="11" style="1"/>
    <col min="5889" max="5889" width="16" style="1" customWidth="1"/>
    <col min="5890" max="5890" width="49.625" style="1" customWidth="1"/>
    <col min="5891" max="5891" width="15.25" style="1" customWidth="1"/>
    <col min="5892" max="5898" width="14.625" style="1" customWidth="1"/>
    <col min="5899" max="5899" width="0" style="1" hidden="1" customWidth="1"/>
    <col min="5900" max="5900" width="7.875" style="1" customWidth="1"/>
    <col min="5901" max="5901" width="17.375" style="1" customWidth="1"/>
    <col min="5902" max="5902" width="14.625" style="1" customWidth="1"/>
    <col min="5903" max="5903" width="8.5" style="1" customWidth="1"/>
    <col min="5904" max="5904" width="11" style="1"/>
    <col min="5905" max="5905" width="10.125" style="1" bestFit="1" customWidth="1"/>
    <col min="5906" max="6144" width="11" style="1"/>
    <col min="6145" max="6145" width="16" style="1" customWidth="1"/>
    <col min="6146" max="6146" width="49.625" style="1" customWidth="1"/>
    <col min="6147" max="6147" width="15.25" style="1" customWidth="1"/>
    <col min="6148" max="6154" width="14.625" style="1" customWidth="1"/>
    <col min="6155" max="6155" width="0" style="1" hidden="1" customWidth="1"/>
    <col min="6156" max="6156" width="7.875" style="1" customWidth="1"/>
    <col min="6157" max="6157" width="17.375" style="1" customWidth="1"/>
    <col min="6158" max="6158" width="14.625" style="1" customWidth="1"/>
    <col min="6159" max="6159" width="8.5" style="1" customWidth="1"/>
    <col min="6160" max="6160" width="11" style="1"/>
    <col min="6161" max="6161" width="10.125" style="1" bestFit="1" customWidth="1"/>
    <col min="6162" max="6400" width="11" style="1"/>
    <col min="6401" max="6401" width="16" style="1" customWidth="1"/>
    <col min="6402" max="6402" width="49.625" style="1" customWidth="1"/>
    <col min="6403" max="6403" width="15.25" style="1" customWidth="1"/>
    <col min="6404" max="6410" width="14.625" style="1" customWidth="1"/>
    <col min="6411" max="6411" width="0" style="1" hidden="1" customWidth="1"/>
    <col min="6412" max="6412" width="7.875" style="1" customWidth="1"/>
    <col min="6413" max="6413" width="17.375" style="1" customWidth="1"/>
    <col min="6414" max="6414" width="14.625" style="1" customWidth="1"/>
    <col min="6415" max="6415" width="8.5" style="1" customWidth="1"/>
    <col min="6416" max="6416" width="11" style="1"/>
    <col min="6417" max="6417" width="10.125" style="1" bestFit="1" customWidth="1"/>
    <col min="6418" max="6656" width="11" style="1"/>
    <col min="6657" max="6657" width="16" style="1" customWidth="1"/>
    <col min="6658" max="6658" width="49.625" style="1" customWidth="1"/>
    <col min="6659" max="6659" width="15.25" style="1" customWidth="1"/>
    <col min="6660" max="6666" width="14.625" style="1" customWidth="1"/>
    <col min="6667" max="6667" width="0" style="1" hidden="1" customWidth="1"/>
    <col min="6668" max="6668" width="7.875" style="1" customWidth="1"/>
    <col min="6669" max="6669" width="17.375" style="1" customWidth="1"/>
    <col min="6670" max="6670" width="14.625" style="1" customWidth="1"/>
    <col min="6671" max="6671" width="8.5" style="1" customWidth="1"/>
    <col min="6672" max="6672" width="11" style="1"/>
    <col min="6673" max="6673" width="10.125" style="1" bestFit="1" customWidth="1"/>
    <col min="6674" max="6912" width="11" style="1"/>
    <col min="6913" max="6913" width="16" style="1" customWidth="1"/>
    <col min="6914" max="6914" width="49.625" style="1" customWidth="1"/>
    <col min="6915" max="6915" width="15.25" style="1" customWidth="1"/>
    <col min="6916" max="6922" width="14.625" style="1" customWidth="1"/>
    <col min="6923" max="6923" width="0" style="1" hidden="1" customWidth="1"/>
    <col min="6924" max="6924" width="7.875" style="1" customWidth="1"/>
    <col min="6925" max="6925" width="17.375" style="1" customWidth="1"/>
    <col min="6926" max="6926" width="14.625" style="1" customWidth="1"/>
    <col min="6927" max="6927" width="8.5" style="1" customWidth="1"/>
    <col min="6928" max="6928" width="11" style="1"/>
    <col min="6929" max="6929" width="10.125" style="1" bestFit="1" customWidth="1"/>
    <col min="6930" max="7168" width="11" style="1"/>
    <col min="7169" max="7169" width="16" style="1" customWidth="1"/>
    <col min="7170" max="7170" width="49.625" style="1" customWidth="1"/>
    <col min="7171" max="7171" width="15.25" style="1" customWidth="1"/>
    <col min="7172" max="7178" width="14.625" style="1" customWidth="1"/>
    <col min="7179" max="7179" width="0" style="1" hidden="1" customWidth="1"/>
    <col min="7180" max="7180" width="7.875" style="1" customWidth="1"/>
    <col min="7181" max="7181" width="17.375" style="1" customWidth="1"/>
    <col min="7182" max="7182" width="14.625" style="1" customWidth="1"/>
    <col min="7183" max="7183" width="8.5" style="1" customWidth="1"/>
    <col min="7184" max="7184" width="11" style="1"/>
    <col min="7185" max="7185" width="10.125" style="1" bestFit="1" customWidth="1"/>
    <col min="7186" max="7424" width="11" style="1"/>
    <col min="7425" max="7425" width="16" style="1" customWidth="1"/>
    <col min="7426" max="7426" width="49.625" style="1" customWidth="1"/>
    <col min="7427" max="7427" width="15.25" style="1" customWidth="1"/>
    <col min="7428" max="7434" width="14.625" style="1" customWidth="1"/>
    <col min="7435" max="7435" width="0" style="1" hidden="1" customWidth="1"/>
    <col min="7436" max="7436" width="7.875" style="1" customWidth="1"/>
    <col min="7437" max="7437" width="17.375" style="1" customWidth="1"/>
    <col min="7438" max="7438" width="14.625" style="1" customWidth="1"/>
    <col min="7439" max="7439" width="8.5" style="1" customWidth="1"/>
    <col min="7440" max="7440" width="11" style="1"/>
    <col min="7441" max="7441" width="10.125" style="1" bestFit="1" customWidth="1"/>
    <col min="7442" max="7680" width="11" style="1"/>
    <col min="7681" max="7681" width="16" style="1" customWidth="1"/>
    <col min="7682" max="7682" width="49.625" style="1" customWidth="1"/>
    <col min="7683" max="7683" width="15.25" style="1" customWidth="1"/>
    <col min="7684" max="7690" width="14.625" style="1" customWidth="1"/>
    <col min="7691" max="7691" width="0" style="1" hidden="1" customWidth="1"/>
    <col min="7692" max="7692" width="7.875" style="1" customWidth="1"/>
    <col min="7693" max="7693" width="17.375" style="1" customWidth="1"/>
    <col min="7694" max="7694" width="14.625" style="1" customWidth="1"/>
    <col min="7695" max="7695" width="8.5" style="1" customWidth="1"/>
    <col min="7696" max="7696" width="11" style="1"/>
    <col min="7697" max="7697" width="10.125" style="1" bestFit="1" customWidth="1"/>
    <col min="7698" max="7936" width="11" style="1"/>
    <col min="7937" max="7937" width="16" style="1" customWidth="1"/>
    <col min="7938" max="7938" width="49.625" style="1" customWidth="1"/>
    <col min="7939" max="7939" width="15.25" style="1" customWidth="1"/>
    <col min="7940" max="7946" width="14.625" style="1" customWidth="1"/>
    <col min="7947" max="7947" width="0" style="1" hidden="1" customWidth="1"/>
    <col min="7948" max="7948" width="7.875" style="1" customWidth="1"/>
    <col min="7949" max="7949" width="17.375" style="1" customWidth="1"/>
    <col min="7950" max="7950" width="14.625" style="1" customWidth="1"/>
    <col min="7951" max="7951" width="8.5" style="1" customWidth="1"/>
    <col min="7952" max="7952" width="11" style="1"/>
    <col min="7953" max="7953" width="10.125" style="1" bestFit="1" customWidth="1"/>
    <col min="7954" max="8192" width="11" style="1"/>
    <col min="8193" max="8193" width="16" style="1" customWidth="1"/>
    <col min="8194" max="8194" width="49.625" style="1" customWidth="1"/>
    <col min="8195" max="8195" width="15.25" style="1" customWidth="1"/>
    <col min="8196" max="8202" width="14.625" style="1" customWidth="1"/>
    <col min="8203" max="8203" width="0" style="1" hidden="1" customWidth="1"/>
    <col min="8204" max="8204" width="7.875" style="1" customWidth="1"/>
    <col min="8205" max="8205" width="17.375" style="1" customWidth="1"/>
    <col min="8206" max="8206" width="14.625" style="1" customWidth="1"/>
    <col min="8207" max="8207" width="8.5" style="1" customWidth="1"/>
    <col min="8208" max="8208" width="11" style="1"/>
    <col min="8209" max="8209" width="10.125" style="1" bestFit="1" customWidth="1"/>
    <col min="8210" max="8448" width="11" style="1"/>
    <col min="8449" max="8449" width="16" style="1" customWidth="1"/>
    <col min="8450" max="8450" width="49.625" style="1" customWidth="1"/>
    <col min="8451" max="8451" width="15.25" style="1" customWidth="1"/>
    <col min="8452" max="8458" width="14.625" style="1" customWidth="1"/>
    <col min="8459" max="8459" width="0" style="1" hidden="1" customWidth="1"/>
    <col min="8460" max="8460" width="7.875" style="1" customWidth="1"/>
    <col min="8461" max="8461" width="17.375" style="1" customWidth="1"/>
    <col min="8462" max="8462" width="14.625" style="1" customWidth="1"/>
    <col min="8463" max="8463" width="8.5" style="1" customWidth="1"/>
    <col min="8464" max="8464" width="11" style="1"/>
    <col min="8465" max="8465" width="10.125" style="1" bestFit="1" customWidth="1"/>
    <col min="8466" max="8704" width="11" style="1"/>
    <col min="8705" max="8705" width="16" style="1" customWidth="1"/>
    <col min="8706" max="8706" width="49.625" style="1" customWidth="1"/>
    <col min="8707" max="8707" width="15.25" style="1" customWidth="1"/>
    <col min="8708" max="8714" width="14.625" style="1" customWidth="1"/>
    <col min="8715" max="8715" width="0" style="1" hidden="1" customWidth="1"/>
    <col min="8716" max="8716" width="7.875" style="1" customWidth="1"/>
    <col min="8717" max="8717" width="17.375" style="1" customWidth="1"/>
    <col min="8718" max="8718" width="14.625" style="1" customWidth="1"/>
    <col min="8719" max="8719" width="8.5" style="1" customWidth="1"/>
    <col min="8720" max="8720" width="11" style="1"/>
    <col min="8721" max="8721" width="10.125" style="1" bestFit="1" customWidth="1"/>
    <col min="8722" max="8960" width="11" style="1"/>
    <col min="8961" max="8961" width="16" style="1" customWidth="1"/>
    <col min="8962" max="8962" width="49.625" style="1" customWidth="1"/>
    <col min="8963" max="8963" width="15.25" style="1" customWidth="1"/>
    <col min="8964" max="8970" width="14.625" style="1" customWidth="1"/>
    <col min="8971" max="8971" width="0" style="1" hidden="1" customWidth="1"/>
    <col min="8972" max="8972" width="7.875" style="1" customWidth="1"/>
    <col min="8973" max="8973" width="17.375" style="1" customWidth="1"/>
    <col min="8974" max="8974" width="14.625" style="1" customWidth="1"/>
    <col min="8975" max="8975" width="8.5" style="1" customWidth="1"/>
    <col min="8976" max="8976" width="11" style="1"/>
    <col min="8977" max="8977" width="10.125" style="1" bestFit="1" customWidth="1"/>
    <col min="8978" max="9216" width="11" style="1"/>
    <col min="9217" max="9217" width="16" style="1" customWidth="1"/>
    <col min="9218" max="9218" width="49.625" style="1" customWidth="1"/>
    <col min="9219" max="9219" width="15.25" style="1" customWidth="1"/>
    <col min="9220" max="9226" width="14.625" style="1" customWidth="1"/>
    <col min="9227" max="9227" width="0" style="1" hidden="1" customWidth="1"/>
    <col min="9228" max="9228" width="7.875" style="1" customWidth="1"/>
    <col min="9229" max="9229" width="17.375" style="1" customWidth="1"/>
    <col min="9230" max="9230" width="14.625" style="1" customWidth="1"/>
    <col min="9231" max="9231" width="8.5" style="1" customWidth="1"/>
    <col min="9232" max="9232" width="11" style="1"/>
    <col min="9233" max="9233" width="10.125" style="1" bestFit="1" customWidth="1"/>
    <col min="9234" max="9472" width="11" style="1"/>
    <col min="9473" max="9473" width="16" style="1" customWidth="1"/>
    <col min="9474" max="9474" width="49.625" style="1" customWidth="1"/>
    <col min="9475" max="9475" width="15.25" style="1" customWidth="1"/>
    <col min="9476" max="9482" width="14.625" style="1" customWidth="1"/>
    <col min="9483" max="9483" width="0" style="1" hidden="1" customWidth="1"/>
    <col min="9484" max="9484" width="7.875" style="1" customWidth="1"/>
    <col min="9485" max="9485" width="17.375" style="1" customWidth="1"/>
    <col min="9486" max="9486" width="14.625" style="1" customWidth="1"/>
    <col min="9487" max="9487" width="8.5" style="1" customWidth="1"/>
    <col min="9488" max="9488" width="11" style="1"/>
    <col min="9489" max="9489" width="10.125" style="1" bestFit="1" customWidth="1"/>
    <col min="9490" max="9728" width="11" style="1"/>
    <col min="9729" max="9729" width="16" style="1" customWidth="1"/>
    <col min="9730" max="9730" width="49.625" style="1" customWidth="1"/>
    <col min="9731" max="9731" width="15.25" style="1" customWidth="1"/>
    <col min="9732" max="9738" width="14.625" style="1" customWidth="1"/>
    <col min="9739" max="9739" width="0" style="1" hidden="1" customWidth="1"/>
    <col min="9740" max="9740" width="7.875" style="1" customWidth="1"/>
    <col min="9741" max="9741" width="17.375" style="1" customWidth="1"/>
    <col min="9742" max="9742" width="14.625" style="1" customWidth="1"/>
    <col min="9743" max="9743" width="8.5" style="1" customWidth="1"/>
    <col min="9744" max="9744" width="11" style="1"/>
    <col min="9745" max="9745" width="10.125" style="1" bestFit="1" customWidth="1"/>
    <col min="9746" max="9984" width="11" style="1"/>
    <col min="9985" max="9985" width="16" style="1" customWidth="1"/>
    <col min="9986" max="9986" width="49.625" style="1" customWidth="1"/>
    <col min="9987" max="9987" width="15.25" style="1" customWidth="1"/>
    <col min="9988" max="9994" width="14.625" style="1" customWidth="1"/>
    <col min="9995" max="9995" width="0" style="1" hidden="1" customWidth="1"/>
    <col min="9996" max="9996" width="7.875" style="1" customWidth="1"/>
    <col min="9997" max="9997" width="17.375" style="1" customWidth="1"/>
    <col min="9998" max="9998" width="14.625" style="1" customWidth="1"/>
    <col min="9999" max="9999" width="8.5" style="1" customWidth="1"/>
    <col min="10000" max="10000" width="11" style="1"/>
    <col min="10001" max="10001" width="10.125" style="1" bestFit="1" customWidth="1"/>
    <col min="10002" max="10240" width="11" style="1"/>
    <col min="10241" max="10241" width="16" style="1" customWidth="1"/>
    <col min="10242" max="10242" width="49.625" style="1" customWidth="1"/>
    <col min="10243" max="10243" width="15.25" style="1" customWidth="1"/>
    <col min="10244" max="10250" width="14.625" style="1" customWidth="1"/>
    <col min="10251" max="10251" width="0" style="1" hidden="1" customWidth="1"/>
    <col min="10252" max="10252" width="7.875" style="1" customWidth="1"/>
    <col min="10253" max="10253" width="17.375" style="1" customWidth="1"/>
    <col min="10254" max="10254" width="14.625" style="1" customWidth="1"/>
    <col min="10255" max="10255" width="8.5" style="1" customWidth="1"/>
    <col min="10256" max="10256" width="11" style="1"/>
    <col min="10257" max="10257" width="10.125" style="1" bestFit="1" customWidth="1"/>
    <col min="10258" max="10496" width="11" style="1"/>
    <col min="10497" max="10497" width="16" style="1" customWidth="1"/>
    <col min="10498" max="10498" width="49.625" style="1" customWidth="1"/>
    <col min="10499" max="10499" width="15.25" style="1" customWidth="1"/>
    <col min="10500" max="10506" width="14.625" style="1" customWidth="1"/>
    <col min="10507" max="10507" width="0" style="1" hidden="1" customWidth="1"/>
    <col min="10508" max="10508" width="7.875" style="1" customWidth="1"/>
    <col min="10509" max="10509" width="17.375" style="1" customWidth="1"/>
    <col min="10510" max="10510" width="14.625" style="1" customWidth="1"/>
    <col min="10511" max="10511" width="8.5" style="1" customWidth="1"/>
    <col min="10512" max="10512" width="11" style="1"/>
    <col min="10513" max="10513" width="10.125" style="1" bestFit="1" customWidth="1"/>
    <col min="10514" max="10752" width="11" style="1"/>
    <col min="10753" max="10753" width="16" style="1" customWidth="1"/>
    <col min="10754" max="10754" width="49.625" style="1" customWidth="1"/>
    <col min="10755" max="10755" width="15.25" style="1" customWidth="1"/>
    <col min="10756" max="10762" width="14.625" style="1" customWidth="1"/>
    <col min="10763" max="10763" width="0" style="1" hidden="1" customWidth="1"/>
    <col min="10764" max="10764" width="7.875" style="1" customWidth="1"/>
    <col min="10765" max="10765" width="17.375" style="1" customWidth="1"/>
    <col min="10766" max="10766" width="14.625" style="1" customWidth="1"/>
    <col min="10767" max="10767" width="8.5" style="1" customWidth="1"/>
    <col min="10768" max="10768" width="11" style="1"/>
    <col min="10769" max="10769" width="10.125" style="1" bestFit="1" customWidth="1"/>
    <col min="10770" max="11008" width="11" style="1"/>
    <col min="11009" max="11009" width="16" style="1" customWidth="1"/>
    <col min="11010" max="11010" width="49.625" style="1" customWidth="1"/>
    <col min="11011" max="11011" width="15.25" style="1" customWidth="1"/>
    <col min="11012" max="11018" width="14.625" style="1" customWidth="1"/>
    <col min="11019" max="11019" width="0" style="1" hidden="1" customWidth="1"/>
    <col min="11020" max="11020" width="7.875" style="1" customWidth="1"/>
    <col min="11021" max="11021" width="17.375" style="1" customWidth="1"/>
    <col min="11022" max="11022" width="14.625" style="1" customWidth="1"/>
    <col min="11023" max="11023" width="8.5" style="1" customWidth="1"/>
    <col min="11024" max="11024" width="11" style="1"/>
    <col min="11025" max="11025" width="10.125" style="1" bestFit="1" customWidth="1"/>
    <col min="11026" max="11264" width="11" style="1"/>
    <col min="11265" max="11265" width="16" style="1" customWidth="1"/>
    <col min="11266" max="11266" width="49.625" style="1" customWidth="1"/>
    <col min="11267" max="11267" width="15.25" style="1" customWidth="1"/>
    <col min="11268" max="11274" width="14.625" style="1" customWidth="1"/>
    <col min="11275" max="11275" width="0" style="1" hidden="1" customWidth="1"/>
    <col min="11276" max="11276" width="7.875" style="1" customWidth="1"/>
    <col min="11277" max="11277" width="17.375" style="1" customWidth="1"/>
    <col min="11278" max="11278" width="14.625" style="1" customWidth="1"/>
    <col min="11279" max="11279" width="8.5" style="1" customWidth="1"/>
    <col min="11280" max="11280" width="11" style="1"/>
    <col min="11281" max="11281" width="10.125" style="1" bestFit="1" customWidth="1"/>
    <col min="11282" max="11520" width="11" style="1"/>
    <col min="11521" max="11521" width="16" style="1" customWidth="1"/>
    <col min="11522" max="11522" width="49.625" style="1" customWidth="1"/>
    <col min="11523" max="11523" width="15.25" style="1" customWidth="1"/>
    <col min="11524" max="11530" width="14.625" style="1" customWidth="1"/>
    <col min="11531" max="11531" width="0" style="1" hidden="1" customWidth="1"/>
    <col min="11532" max="11532" width="7.875" style="1" customWidth="1"/>
    <col min="11533" max="11533" width="17.375" style="1" customWidth="1"/>
    <col min="11534" max="11534" width="14.625" style="1" customWidth="1"/>
    <col min="11535" max="11535" width="8.5" style="1" customWidth="1"/>
    <col min="11536" max="11536" width="11" style="1"/>
    <col min="11537" max="11537" width="10.125" style="1" bestFit="1" customWidth="1"/>
    <col min="11538" max="11776" width="11" style="1"/>
    <col min="11777" max="11777" width="16" style="1" customWidth="1"/>
    <col min="11778" max="11778" width="49.625" style="1" customWidth="1"/>
    <col min="11779" max="11779" width="15.25" style="1" customWidth="1"/>
    <col min="11780" max="11786" width="14.625" style="1" customWidth="1"/>
    <col min="11787" max="11787" width="0" style="1" hidden="1" customWidth="1"/>
    <col min="11788" max="11788" width="7.875" style="1" customWidth="1"/>
    <col min="11789" max="11789" width="17.375" style="1" customWidth="1"/>
    <col min="11790" max="11790" width="14.625" style="1" customWidth="1"/>
    <col min="11791" max="11791" width="8.5" style="1" customWidth="1"/>
    <col min="11792" max="11792" width="11" style="1"/>
    <col min="11793" max="11793" width="10.125" style="1" bestFit="1" customWidth="1"/>
    <col min="11794" max="12032" width="11" style="1"/>
    <col min="12033" max="12033" width="16" style="1" customWidth="1"/>
    <col min="12034" max="12034" width="49.625" style="1" customWidth="1"/>
    <col min="12035" max="12035" width="15.25" style="1" customWidth="1"/>
    <col min="12036" max="12042" width="14.625" style="1" customWidth="1"/>
    <col min="12043" max="12043" width="0" style="1" hidden="1" customWidth="1"/>
    <col min="12044" max="12044" width="7.875" style="1" customWidth="1"/>
    <col min="12045" max="12045" width="17.375" style="1" customWidth="1"/>
    <col min="12046" max="12046" width="14.625" style="1" customWidth="1"/>
    <col min="12047" max="12047" width="8.5" style="1" customWidth="1"/>
    <col min="12048" max="12048" width="11" style="1"/>
    <col min="12049" max="12049" width="10.125" style="1" bestFit="1" customWidth="1"/>
    <col min="12050" max="12288" width="11" style="1"/>
    <col min="12289" max="12289" width="16" style="1" customWidth="1"/>
    <col min="12290" max="12290" width="49.625" style="1" customWidth="1"/>
    <col min="12291" max="12291" width="15.25" style="1" customWidth="1"/>
    <col min="12292" max="12298" width="14.625" style="1" customWidth="1"/>
    <col min="12299" max="12299" width="0" style="1" hidden="1" customWidth="1"/>
    <col min="12300" max="12300" width="7.875" style="1" customWidth="1"/>
    <col min="12301" max="12301" width="17.375" style="1" customWidth="1"/>
    <col min="12302" max="12302" width="14.625" style="1" customWidth="1"/>
    <col min="12303" max="12303" width="8.5" style="1" customWidth="1"/>
    <col min="12304" max="12304" width="11" style="1"/>
    <col min="12305" max="12305" width="10.125" style="1" bestFit="1" customWidth="1"/>
    <col min="12306" max="12544" width="11" style="1"/>
    <col min="12545" max="12545" width="16" style="1" customWidth="1"/>
    <col min="12546" max="12546" width="49.625" style="1" customWidth="1"/>
    <col min="12547" max="12547" width="15.25" style="1" customWidth="1"/>
    <col min="12548" max="12554" width="14.625" style="1" customWidth="1"/>
    <col min="12555" max="12555" width="0" style="1" hidden="1" customWidth="1"/>
    <col min="12556" max="12556" width="7.875" style="1" customWidth="1"/>
    <col min="12557" max="12557" width="17.375" style="1" customWidth="1"/>
    <col min="12558" max="12558" width="14.625" style="1" customWidth="1"/>
    <col min="12559" max="12559" width="8.5" style="1" customWidth="1"/>
    <col min="12560" max="12560" width="11" style="1"/>
    <col min="12561" max="12561" width="10.125" style="1" bestFit="1" customWidth="1"/>
    <col min="12562" max="12800" width="11" style="1"/>
    <col min="12801" max="12801" width="16" style="1" customWidth="1"/>
    <col min="12802" max="12802" width="49.625" style="1" customWidth="1"/>
    <col min="12803" max="12803" width="15.25" style="1" customWidth="1"/>
    <col min="12804" max="12810" width="14.625" style="1" customWidth="1"/>
    <col min="12811" max="12811" width="0" style="1" hidden="1" customWidth="1"/>
    <col min="12812" max="12812" width="7.875" style="1" customWidth="1"/>
    <col min="12813" max="12813" width="17.375" style="1" customWidth="1"/>
    <col min="12814" max="12814" width="14.625" style="1" customWidth="1"/>
    <col min="12815" max="12815" width="8.5" style="1" customWidth="1"/>
    <col min="12816" max="12816" width="11" style="1"/>
    <col min="12817" max="12817" width="10.125" style="1" bestFit="1" customWidth="1"/>
    <col min="12818" max="13056" width="11" style="1"/>
    <col min="13057" max="13057" width="16" style="1" customWidth="1"/>
    <col min="13058" max="13058" width="49.625" style="1" customWidth="1"/>
    <col min="13059" max="13059" width="15.25" style="1" customWidth="1"/>
    <col min="13060" max="13066" width="14.625" style="1" customWidth="1"/>
    <col min="13067" max="13067" width="0" style="1" hidden="1" customWidth="1"/>
    <col min="13068" max="13068" width="7.875" style="1" customWidth="1"/>
    <col min="13069" max="13069" width="17.375" style="1" customWidth="1"/>
    <col min="13070" max="13070" width="14.625" style="1" customWidth="1"/>
    <col min="13071" max="13071" width="8.5" style="1" customWidth="1"/>
    <col min="13072" max="13072" width="11" style="1"/>
    <col min="13073" max="13073" width="10.125" style="1" bestFit="1" customWidth="1"/>
    <col min="13074" max="13312" width="11" style="1"/>
    <col min="13313" max="13313" width="16" style="1" customWidth="1"/>
    <col min="13314" max="13314" width="49.625" style="1" customWidth="1"/>
    <col min="13315" max="13315" width="15.25" style="1" customWidth="1"/>
    <col min="13316" max="13322" width="14.625" style="1" customWidth="1"/>
    <col min="13323" max="13323" width="0" style="1" hidden="1" customWidth="1"/>
    <col min="13324" max="13324" width="7.875" style="1" customWidth="1"/>
    <col min="13325" max="13325" width="17.375" style="1" customWidth="1"/>
    <col min="13326" max="13326" width="14.625" style="1" customWidth="1"/>
    <col min="13327" max="13327" width="8.5" style="1" customWidth="1"/>
    <col min="13328" max="13328" width="11" style="1"/>
    <col min="13329" max="13329" width="10.125" style="1" bestFit="1" customWidth="1"/>
    <col min="13330" max="13568" width="11" style="1"/>
    <col min="13569" max="13569" width="16" style="1" customWidth="1"/>
    <col min="13570" max="13570" width="49.625" style="1" customWidth="1"/>
    <col min="13571" max="13571" width="15.25" style="1" customWidth="1"/>
    <col min="13572" max="13578" width="14.625" style="1" customWidth="1"/>
    <col min="13579" max="13579" width="0" style="1" hidden="1" customWidth="1"/>
    <col min="13580" max="13580" width="7.875" style="1" customWidth="1"/>
    <col min="13581" max="13581" width="17.375" style="1" customWidth="1"/>
    <col min="13582" max="13582" width="14.625" style="1" customWidth="1"/>
    <col min="13583" max="13583" width="8.5" style="1" customWidth="1"/>
    <col min="13584" max="13584" width="11" style="1"/>
    <col min="13585" max="13585" width="10.125" style="1" bestFit="1" customWidth="1"/>
    <col min="13586" max="13824" width="11" style="1"/>
    <col min="13825" max="13825" width="16" style="1" customWidth="1"/>
    <col min="13826" max="13826" width="49.625" style="1" customWidth="1"/>
    <col min="13827" max="13827" width="15.25" style="1" customWidth="1"/>
    <col min="13828" max="13834" width="14.625" style="1" customWidth="1"/>
    <col min="13835" max="13835" width="0" style="1" hidden="1" customWidth="1"/>
    <col min="13836" max="13836" width="7.875" style="1" customWidth="1"/>
    <col min="13837" max="13837" width="17.375" style="1" customWidth="1"/>
    <col min="13838" max="13838" width="14.625" style="1" customWidth="1"/>
    <col min="13839" max="13839" width="8.5" style="1" customWidth="1"/>
    <col min="13840" max="13840" width="11" style="1"/>
    <col min="13841" max="13841" width="10.125" style="1" bestFit="1" customWidth="1"/>
    <col min="13842" max="14080" width="11" style="1"/>
    <col min="14081" max="14081" width="16" style="1" customWidth="1"/>
    <col min="14082" max="14082" width="49.625" style="1" customWidth="1"/>
    <col min="14083" max="14083" width="15.25" style="1" customWidth="1"/>
    <col min="14084" max="14090" width="14.625" style="1" customWidth="1"/>
    <col min="14091" max="14091" width="0" style="1" hidden="1" customWidth="1"/>
    <col min="14092" max="14092" width="7.875" style="1" customWidth="1"/>
    <col min="14093" max="14093" width="17.375" style="1" customWidth="1"/>
    <col min="14094" max="14094" width="14.625" style="1" customWidth="1"/>
    <col min="14095" max="14095" width="8.5" style="1" customWidth="1"/>
    <col min="14096" max="14096" width="11" style="1"/>
    <col min="14097" max="14097" width="10.125" style="1" bestFit="1" customWidth="1"/>
    <col min="14098" max="14336" width="11" style="1"/>
    <col min="14337" max="14337" width="16" style="1" customWidth="1"/>
    <col min="14338" max="14338" width="49.625" style="1" customWidth="1"/>
    <col min="14339" max="14339" width="15.25" style="1" customWidth="1"/>
    <col min="14340" max="14346" width="14.625" style="1" customWidth="1"/>
    <col min="14347" max="14347" width="0" style="1" hidden="1" customWidth="1"/>
    <col min="14348" max="14348" width="7.875" style="1" customWidth="1"/>
    <col min="14349" max="14349" width="17.375" style="1" customWidth="1"/>
    <col min="14350" max="14350" width="14.625" style="1" customWidth="1"/>
    <col min="14351" max="14351" width="8.5" style="1" customWidth="1"/>
    <col min="14352" max="14352" width="11" style="1"/>
    <col min="14353" max="14353" width="10.125" style="1" bestFit="1" customWidth="1"/>
    <col min="14354" max="14592" width="11" style="1"/>
    <col min="14593" max="14593" width="16" style="1" customWidth="1"/>
    <col min="14594" max="14594" width="49.625" style="1" customWidth="1"/>
    <col min="14595" max="14595" width="15.25" style="1" customWidth="1"/>
    <col min="14596" max="14602" width="14.625" style="1" customWidth="1"/>
    <col min="14603" max="14603" width="0" style="1" hidden="1" customWidth="1"/>
    <col min="14604" max="14604" width="7.875" style="1" customWidth="1"/>
    <col min="14605" max="14605" width="17.375" style="1" customWidth="1"/>
    <col min="14606" max="14606" width="14.625" style="1" customWidth="1"/>
    <col min="14607" max="14607" width="8.5" style="1" customWidth="1"/>
    <col min="14608" max="14608" width="11" style="1"/>
    <col min="14609" max="14609" width="10.125" style="1" bestFit="1" customWidth="1"/>
    <col min="14610" max="14848" width="11" style="1"/>
    <col min="14849" max="14849" width="16" style="1" customWidth="1"/>
    <col min="14850" max="14850" width="49.625" style="1" customWidth="1"/>
    <col min="14851" max="14851" width="15.25" style="1" customWidth="1"/>
    <col min="14852" max="14858" width="14.625" style="1" customWidth="1"/>
    <col min="14859" max="14859" width="0" style="1" hidden="1" customWidth="1"/>
    <col min="14860" max="14860" width="7.875" style="1" customWidth="1"/>
    <col min="14861" max="14861" width="17.375" style="1" customWidth="1"/>
    <col min="14862" max="14862" width="14.625" style="1" customWidth="1"/>
    <col min="14863" max="14863" width="8.5" style="1" customWidth="1"/>
    <col min="14864" max="14864" width="11" style="1"/>
    <col min="14865" max="14865" width="10.125" style="1" bestFit="1" customWidth="1"/>
    <col min="14866" max="15104" width="11" style="1"/>
    <col min="15105" max="15105" width="16" style="1" customWidth="1"/>
    <col min="15106" max="15106" width="49.625" style="1" customWidth="1"/>
    <col min="15107" max="15107" width="15.25" style="1" customWidth="1"/>
    <col min="15108" max="15114" width="14.625" style="1" customWidth="1"/>
    <col min="15115" max="15115" width="0" style="1" hidden="1" customWidth="1"/>
    <col min="15116" max="15116" width="7.875" style="1" customWidth="1"/>
    <col min="15117" max="15117" width="17.375" style="1" customWidth="1"/>
    <col min="15118" max="15118" width="14.625" style="1" customWidth="1"/>
    <col min="15119" max="15119" width="8.5" style="1" customWidth="1"/>
    <col min="15120" max="15120" width="11" style="1"/>
    <col min="15121" max="15121" width="10.125" style="1" bestFit="1" customWidth="1"/>
    <col min="15122" max="15360" width="11" style="1"/>
    <col min="15361" max="15361" width="16" style="1" customWidth="1"/>
    <col min="15362" max="15362" width="49.625" style="1" customWidth="1"/>
    <col min="15363" max="15363" width="15.25" style="1" customWidth="1"/>
    <col min="15364" max="15370" width="14.625" style="1" customWidth="1"/>
    <col min="15371" max="15371" width="0" style="1" hidden="1" customWidth="1"/>
    <col min="15372" max="15372" width="7.875" style="1" customWidth="1"/>
    <col min="15373" max="15373" width="17.375" style="1" customWidth="1"/>
    <col min="15374" max="15374" width="14.625" style="1" customWidth="1"/>
    <col min="15375" max="15375" width="8.5" style="1" customWidth="1"/>
    <col min="15376" max="15376" width="11" style="1"/>
    <col min="15377" max="15377" width="10.125" style="1" bestFit="1" customWidth="1"/>
    <col min="15378" max="15616" width="11" style="1"/>
    <col min="15617" max="15617" width="16" style="1" customWidth="1"/>
    <col min="15618" max="15618" width="49.625" style="1" customWidth="1"/>
    <col min="15619" max="15619" width="15.25" style="1" customWidth="1"/>
    <col min="15620" max="15626" width="14.625" style="1" customWidth="1"/>
    <col min="15627" max="15627" width="0" style="1" hidden="1" customWidth="1"/>
    <col min="15628" max="15628" width="7.875" style="1" customWidth="1"/>
    <col min="15629" max="15629" width="17.375" style="1" customWidth="1"/>
    <col min="15630" max="15630" width="14.625" style="1" customWidth="1"/>
    <col min="15631" max="15631" width="8.5" style="1" customWidth="1"/>
    <col min="15632" max="15632" width="11" style="1"/>
    <col min="15633" max="15633" width="10.125" style="1" bestFit="1" customWidth="1"/>
    <col min="15634" max="15872" width="11" style="1"/>
    <col min="15873" max="15873" width="16" style="1" customWidth="1"/>
    <col min="15874" max="15874" width="49.625" style="1" customWidth="1"/>
    <col min="15875" max="15875" width="15.25" style="1" customWidth="1"/>
    <col min="15876" max="15882" width="14.625" style="1" customWidth="1"/>
    <col min="15883" max="15883" width="0" style="1" hidden="1" customWidth="1"/>
    <col min="15884" max="15884" width="7.875" style="1" customWidth="1"/>
    <col min="15885" max="15885" width="17.375" style="1" customWidth="1"/>
    <col min="15886" max="15886" width="14.625" style="1" customWidth="1"/>
    <col min="15887" max="15887" width="8.5" style="1" customWidth="1"/>
    <col min="15888" max="15888" width="11" style="1"/>
    <col min="15889" max="15889" width="10.125" style="1" bestFit="1" customWidth="1"/>
    <col min="15890" max="16128" width="11" style="1"/>
    <col min="16129" max="16129" width="16" style="1" customWidth="1"/>
    <col min="16130" max="16130" width="49.625" style="1" customWidth="1"/>
    <col min="16131" max="16131" width="15.25" style="1" customWidth="1"/>
    <col min="16132" max="16138" width="14.625" style="1" customWidth="1"/>
    <col min="16139" max="16139" width="0" style="1" hidden="1" customWidth="1"/>
    <col min="16140" max="16140" width="7.875" style="1" customWidth="1"/>
    <col min="16141" max="16141" width="17.375" style="1" customWidth="1"/>
    <col min="16142" max="16142" width="14.625" style="1" customWidth="1"/>
    <col min="16143" max="16143" width="8.5" style="1" customWidth="1"/>
    <col min="16144" max="16144" width="11" style="1"/>
    <col min="16145" max="16145" width="10.125" style="1" bestFit="1" customWidth="1"/>
    <col min="16146" max="16384" width="11" style="1"/>
  </cols>
  <sheetData>
    <row r="1" spans="1:15" ht="18" x14ac:dyDescent="0.2">
      <c r="A1" s="195" t="s">
        <v>0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</row>
    <row r="2" spans="1:15" ht="18" x14ac:dyDescent="0.25">
      <c r="A2" s="196" t="s">
        <v>1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</row>
    <row r="3" spans="1:15" ht="18" x14ac:dyDescent="0.25">
      <c r="A3" s="196" t="s">
        <v>127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</row>
    <row r="4" spans="1:15" ht="18.75" thickBot="1" x14ac:dyDescent="0.3">
      <c r="A4" s="2"/>
      <c r="B4" s="4"/>
      <c r="C4" s="4"/>
      <c r="D4" s="4"/>
      <c r="E4" s="6"/>
      <c r="F4" s="6"/>
      <c r="G4" s="4"/>
      <c r="H4" s="4"/>
      <c r="I4" s="4"/>
      <c r="J4" s="4"/>
      <c r="K4" s="4"/>
      <c r="L4" s="4"/>
      <c r="M4" s="5"/>
      <c r="N4" s="4"/>
      <c r="O4" s="3"/>
    </row>
    <row r="5" spans="1:15" ht="23.25" customHeight="1" x14ac:dyDescent="0.25">
      <c r="A5" s="47" t="s">
        <v>3</v>
      </c>
      <c r="B5" s="48" t="s">
        <v>4</v>
      </c>
      <c r="C5" s="49" t="s">
        <v>5</v>
      </c>
      <c r="D5" s="50" t="s">
        <v>6</v>
      </c>
      <c r="E5" s="51" t="s">
        <v>7</v>
      </c>
      <c r="F5" s="51" t="s">
        <v>8</v>
      </c>
      <c r="G5" s="49" t="s">
        <v>9</v>
      </c>
      <c r="H5" s="50" t="s">
        <v>10</v>
      </c>
      <c r="I5" s="51" t="s">
        <v>11</v>
      </c>
      <c r="J5" s="49" t="s">
        <v>12</v>
      </c>
      <c r="K5" s="49" t="s">
        <v>13</v>
      </c>
      <c r="L5" s="201" t="s">
        <v>14</v>
      </c>
      <c r="M5" s="52" t="s">
        <v>10</v>
      </c>
      <c r="N5" s="49" t="s">
        <v>15</v>
      </c>
      <c r="O5" s="53" t="s">
        <v>14</v>
      </c>
    </row>
    <row r="6" spans="1:15" ht="23.25" customHeight="1" thickBot="1" x14ac:dyDescent="0.3">
      <c r="A6" s="54"/>
      <c r="B6" s="55"/>
      <c r="C6" s="56" t="s">
        <v>16</v>
      </c>
      <c r="D6" s="57"/>
      <c r="E6" s="58"/>
      <c r="F6" s="58"/>
      <c r="G6" s="56" t="s">
        <v>8</v>
      </c>
      <c r="H6" s="57" t="s">
        <v>5</v>
      </c>
      <c r="I6" s="59" t="s">
        <v>17</v>
      </c>
      <c r="J6" s="56" t="s">
        <v>18</v>
      </c>
      <c r="K6" s="56" t="s">
        <v>19</v>
      </c>
      <c r="L6" s="202"/>
      <c r="M6" s="60" t="s">
        <v>19</v>
      </c>
      <c r="N6" s="56" t="s">
        <v>20</v>
      </c>
      <c r="O6" s="61"/>
    </row>
    <row r="7" spans="1:15" ht="15" x14ac:dyDescent="0.25">
      <c r="A7" s="7"/>
      <c r="B7" s="8"/>
      <c r="C7" s="9"/>
      <c r="D7" s="9"/>
      <c r="E7" s="10"/>
      <c r="F7" s="10"/>
      <c r="G7" s="9"/>
      <c r="H7" s="9"/>
      <c r="I7" s="11"/>
      <c r="J7" s="9"/>
      <c r="K7" s="9"/>
      <c r="L7" s="9"/>
      <c r="M7" s="12"/>
      <c r="N7" s="13"/>
      <c r="O7" s="14"/>
    </row>
    <row r="8" spans="1:15" s="77" customFormat="1" ht="27.75" customHeight="1" x14ac:dyDescent="0.2">
      <c r="A8" s="65" t="s">
        <v>21</v>
      </c>
      <c r="B8" s="76" t="s">
        <v>22</v>
      </c>
      <c r="C8" s="68">
        <f t="shared" ref="C8:F8" si="0">SUM(C9:C17)</f>
        <v>647432879</v>
      </c>
      <c r="D8" s="68">
        <f t="shared" si="0"/>
        <v>0</v>
      </c>
      <c r="E8" s="68">
        <f t="shared" si="0"/>
        <v>0</v>
      </c>
      <c r="F8" s="68">
        <f t="shared" si="0"/>
        <v>0</v>
      </c>
      <c r="G8" s="68">
        <f>SUM(G9:G17)</f>
        <v>18900000</v>
      </c>
      <c r="H8" s="68">
        <f>SUM(H9:H17)</f>
        <v>628532879</v>
      </c>
      <c r="I8" s="68">
        <f t="shared" ref="I8:K8" si="1">I9+I10+I11+I12+I13+I14+I15+I16+I17</f>
        <v>201817450.97776085</v>
      </c>
      <c r="J8" s="68">
        <f t="shared" si="1"/>
        <v>65627039</v>
      </c>
      <c r="K8" s="68">
        <f t="shared" si="1"/>
        <v>267444489.97776085</v>
      </c>
      <c r="L8" s="69">
        <f t="shared" ref="L8:L68" si="2">K8/H8</f>
        <v>0.42550596621654352</v>
      </c>
      <c r="M8" s="70">
        <f>I8+J8</f>
        <v>267444489.97776085</v>
      </c>
      <c r="N8" s="68">
        <f>SUM(N9:N17)</f>
        <v>361088389.02223915</v>
      </c>
      <c r="O8" s="71">
        <f t="shared" ref="O8:O37" si="3">N8/H8</f>
        <v>0.57449403378345643</v>
      </c>
    </row>
    <row r="9" spans="1:15" ht="15" x14ac:dyDescent="0.25">
      <c r="A9" s="19" t="s">
        <v>23</v>
      </c>
      <c r="B9" s="20" t="s">
        <v>24</v>
      </c>
      <c r="C9" s="21">
        <v>491332879</v>
      </c>
      <c r="D9" s="22"/>
      <c r="E9" s="23"/>
      <c r="F9" s="36"/>
      <c r="G9" s="62">
        <v>18900000</v>
      </c>
      <c r="H9" s="21">
        <f>C9-D9+E9+F9-G9</f>
        <v>472432879</v>
      </c>
      <c r="I9" s="22">
        <f>ENERO!J9+FEBRERO!J9+MARZO!J9+ABRIL!J9+MAYO!J9</f>
        <v>184806620</v>
      </c>
      <c r="J9" s="43">
        <f>36899453</f>
        <v>36899453</v>
      </c>
      <c r="K9" s="21">
        <f>SUM(I9:J9)</f>
        <v>221706073</v>
      </c>
      <c r="L9" s="16">
        <f t="shared" si="2"/>
        <v>0.46928586653258736</v>
      </c>
      <c r="M9" s="25">
        <f t="shared" ref="M9:M67" si="4">J9+I9</f>
        <v>221706073</v>
      </c>
      <c r="N9" s="26">
        <f t="shared" ref="N9:N17" si="5">H9-K9</f>
        <v>250726806</v>
      </c>
      <c r="O9" s="18">
        <f t="shared" si="3"/>
        <v>0.53071413346741259</v>
      </c>
    </row>
    <row r="10" spans="1:15" ht="15" x14ac:dyDescent="0.25">
      <c r="A10" s="19" t="s">
        <v>25</v>
      </c>
      <c r="B10" s="20" t="s">
        <v>26</v>
      </c>
      <c r="C10" s="21">
        <v>0</v>
      </c>
      <c r="D10" s="22"/>
      <c r="E10" s="23"/>
      <c r="F10" s="36"/>
      <c r="G10" s="63"/>
      <c r="H10" s="21">
        <f t="shared" ref="H10:H22" si="6">C10-D10+E10+F10-G10</f>
        <v>0</v>
      </c>
      <c r="I10" s="22">
        <f>ENERO!J10+FEBRERO!J10+MARZO!J10+ABRIL!J10+MAYO!J10</f>
        <v>0</v>
      </c>
      <c r="J10" s="22">
        <v>0</v>
      </c>
      <c r="K10" s="21">
        <f t="shared" ref="K10:K22" si="7">SUM(I10:J10)</f>
        <v>0</v>
      </c>
      <c r="L10" s="16">
        <v>0</v>
      </c>
      <c r="M10" s="25">
        <f t="shared" si="4"/>
        <v>0</v>
      </c>
      <c r="N10" s="26">
        <f t="shared" si="5"/>
        <v>0</v>
      </c>
      <c r="O10" s="18">
        <v>0</v>
      </c>
    </row>
    <row r="11" spans="1:15" ht="15" x14ac:dyDescent="0.25">
      <c r="A11" s="19" t="s">
        <v>27</v>
      </c>
      <c r="B11" s="20" t="s">
        <v>28</v>
      </c>
      <c r="C11" s="21">
        <v>2300000</v>
      </c>
      <c r="D11" s="22"/>
      <c r="E11" s="23"/>
      <c r="F11" s="36"/>
      <c r="G11" s="63"/>
      <c r="H11" s="21">
        <f t="shared" si="6"/>
        <v>2300000</v>
      </c>
      <c r="I11" s="22">
        <f>ENERO!J11+FEBRERO!J11+MARZO!J11+ABRIL!J11+MAYO!J11</f>
        <v>415700</v>
      </c>
      <c r="J11" s="22">
        <v>83140</v>
      </c>
      <c r="K11" s="21">
        <f t="shared" si="7"/>
        <v>498840</v>
      </c>
      <c r="L11" s="16">
        <f t="shared" si="2"/>
        <v>0.21688695652173914</v>
      </c>
      <c r="M11" s="25">
        <f t="shared" si="4"/>
        <v>498840</v>
      </c>
      <c r="N11" s="26">
        <f t="shared" si="5"/>
        <v>1801160</v>
      </c>
      <c r="O11" s="18">
        <f t="shared" si="3"/>
        <v>0.78311304347826083</v>
      </c>
    </row>
    <row r="12" spans="1:15" ht="15.75" customHeight="1" x14ac:dyDescent="0.25">
      <c r="A12" s="19" t="s">
        <v>29</v>
      </c>
      <c r="B12" s="20" t="s">
        <v>30</v>
      </c>
      <c r="C12" s="21">
        <v>1800000</v>
      </c>
      <c r="D12" s="22"/>
      <c r="E12" s="23"/>
      <c r="F12" s="36"/>
      <c r="G12" s="63"/>
      <c r="H12" s="21">
        <f t="shared" si="6"/>
        <v>1800000</v>
      </c>
      <c r="I12" s="22">
        <f>ENERO!J12+FEBRERO!J12+MARZO!J12+ABRIL!J12+MAYO!J12</f>
        <v>536340</v>
      </c>
      <c r="J12" s="22">
        <v>114510</v>
      </c>
      <c r="K12" s="21">
        <f t="shared" si="7"/>
        <v>650850</v>
      </c>
      <c r="L12" s="16">
        <f t="shared" si="2"/>
        <v>0.36158333333333331</v>
      </c>
      <c r="M12" s="25">
        <f t="shared" si="4"/>
        <v>650850</v>
      </c>
      <c r="N12" s="26">
        <f t="shared" si="5"/>
        <v>1149150</v>
      </c>
      <c r="O12" s="18">
        <f t="shared" si="3"/>
        <v>0.63841666666666663</v>
      </c>
    </row>
    <row r="13" spans="1:15" ht="15" x14ac:dyDescent="0.25">
      <c r="A13" s="19" t="s">
        <v>31</v>
      </c>
      <c r="B13" s="20" t="s">
        <v>32</v>
      </c>
      <c r="C13" s="21">
        <v>15000000</v>
      </c>
      <c r="D13" s="22"/>
      <c r="E13" s="23"/>
      <c r="F13" s="36"/>
      <c r="G13" s="63"/>
      <c r="H13" s="21">
        <f t="shared" si="6"/>
        <v>15000000</v>
      </c>
      <c r="I13" s="22">
        <f>ENERO!J13+FEBRERO!J13+MARZO!J13+ABRIL!J13+MAYO!J13</f>
        <v>2603271</v>
      </c>
      <c r="J13" s="43">
        <v>5623745</v>
      </c>
      <c r="K13" s="21">
        <f t="shared" si="7"/>
        <v>8227016</v>
      </c>
      <c r="L13" s="16">
        <f t="shared" si="2"/>
        <v>0.54846773333333332</v>
      </c>
      <c r="M13" s="25">
        <f t="shared" si="4"/>
        <v>8227016</v>
      </c>
      <c r="N13" s="26">
        <f t="shared" si="5"/>
        <v>6772984</v>
      </c>
      <c r="O13" s="18">
        <f t="shared" si="3"/>
        <v>0.45153226666666668</v>
      </c>
    </row>
    <row r="14" spans="1:15" ht="15" x14ac:dyDescent="0.25">
      <c r="A14" s="19" t="s">
        <v>33</v>
      </c>
      <c r="B14" s="20" t="s">
        <v>34</v>
      </c>
      <c r="C14" s="21">
        <v>22000000</v>
      </c>
      <c r="D14" s="22"/>
      <c r="E14" s="23"/>
      <c r="F14" s="36"/>
      <c r="G14" s="63"/>
      <c r="H14" s="21">
        <f t="shared" si="6"/>
        <v>22000000</v>
      </c>
      <c r="I14" s="22">
        <f>ENERO!J14+FEBRERO!J14+MARZO!J14+ABRIL!J14+MAYO!J14</f>
        <v>1915075</v>
      </c>
      <c r="J14" s="44">
        <v>19087993</v>
      </c>
      <c r="K14" s="21">
        <f t="shared" si="7"/>
        <v>21003068</v>
      </c>
      <c r="L14" s="16">
        <f t="shared" si="2"/>
        <v>0.95468490909090908</v>
      </c>
      <c r="M14" s="25">
        <f t="shared" si="4"/>
        <v>21003068</v>
      </c>
      <c r="N14" s="26">
        <f t="shared" si="5"/>
        <v>996932</v>
      </c>
      <c r="O14" s="18">
        <f t="shared" si="3"/>
        <v>4.5315090909090909E-2</v>
      </c>
    </row>
    <row r="15" spans="1:15" ht="15" x14ac:dyDescent="0.25">
      <c r="A15" s="19" t="s">
        <v>35</v>
      </c>
      <c r="B15" s="20" t="s">
        <v>36</v>
      </c>
      <c r="C15" s="21">
        <v>33000000</v>
      </c>
      <c r="D15" s="22"/>
      <c r="E15" s="23"/>
      <c r="F15" s="36"/>
      <c r="G15" s="63"/>
      <c r="H15" s="21">
        <f t="shared" si="6"/>
        <v>33000000</v>
      </c>
      <c r="I15" s="22">
        <f>ENERO!J15+FEBRERO!J15+MARZO!J15+ABRIL!J15+MAYO!J15</f>
        <v>3808581</v>
      </c>
      <c r="J15" s="43">
        <v>1436646</v>
      </c>
      <c r="K15" s="21">
        <f t="shared" si="7"/>
        <v>5245227</v>
      </c>
      <c r="L15" s="16">
        <f t="shared" si="2"/>
        <v>0.15894627272727271</v>
      </c>
      <c r="M15" s="25">
        <f t="shared" si="4"/>
        <v>5245227</v>
      </c>
      <c r="N15" s="26">
        <f t="shared" si="5"/>
        <v>27754773</v>
      </c>
      <c r="O15" s="18">
        <f t="shared" si="3"/>
        <v>0.84105372727272731</v>
      </c>
    </row>
    <row r="16" spans="1:15" ht="15" x14ac:dyDescent="0.25">
      <c r="A16" s="28">
        <v>2020110109</v>
      </c>
      <c r="B16" s="20" t="s">
        <v>37</v>
      </c>
      <c r="C16" s="21">
        <v>44000000</v>
      </c>
      <c r="D16" s="22"/>
      <c r="E16" s="23"/>
      <c r="F16" s="36"/>
      <c r="G16" s="63"/>
      <c r="H16" s="21">
        <f t="shared" si="6"/>
        <v>44000000</v>
      </c>
      <c r="I16" s="22">
        <f>ENERO!J16+FEBRERO!J16+MARZO!J16+ABRIL!J16+MAYO!J16</f>
        <v>7376937.9777608663</v>
      </c>
      <c r="J16" s="43">
        <v>2381552</v>
      </c>
      <c r="K16" s="21">
        <f>SUM(I16:J16)</f>
        <v>9758489.9777608663</v>
      </c>
      <c r="L16" s="16">
        <f t="shared" si="2"/>
        <v>0.22178386313092877</v>
      </c>
      <c r="M16" s="25">
        <f t="shared" si="4"/>
        <v>9758489.9777608663</v>
      </c>
      <c r="N16" s="26">
        <f t="shared" si="5"/>
        <v>34241510.022239134</v>
      </c>
      <c r="O16" s="18">
        <f t="shared" si="3"/>
        <v>0.77821613686907121</v>
      </c>
    </row>
    <row r="17" spans="1:15" ht="15" x14ac:dyDescent="0.25">
      <c r="A17" s="28">
        <v>2020110108</v>
      </c>
      <c r="B17" s="20" t="s">
        <v>38</v>
      </c>
      <c r="C17" s="21">
        <v>38000000</v>
      </c>
      <c r="D17" s="22"/>
      <c r="E17" s="23"/>
      <c r="F17" s="36"/>
      <c r="G17" s="63"/>
      <c r="H17" s="21">
        <f t="shared" si="6"/>
        <v>38000000</v>
      </c>
      <c r="I17" s="22">
        <f>ENERO!J17+FEBRERO!J17+MARZO!J17+ABRIL!J17+MAYO!J17</f>
        <v>354926</v>
      </c>
      <c r="J17" s="43">
        <v>0</v>
      </c>
      <c r="K17" s="21">
        <f t="shared" si="7"/>
        <v>354926</v>
      </c>
      <c r="L17" s="16">
        <f t="shared" si="2"/>
        <v>9.3401578947368419E-3</v>
      </c>
      <c r="M17" s="25">
        <f t="shared" si="4"/>
        <v>354926</v>
      </c>
      <c r="N17" s="26">
        <f t="shared" si="5"/>
        <v>37645074</v>
      </c>
      <c r="O17" s="18">
        <f t="shared" si="3"/>
        <v>0.99065984210526314</v>
      </c>
    </row>
    <row r="18" spans="1:15" s="72" customFormat="1" ht="27.75" customHeight="1" x14ac:dyDescent="0.2">
      <c r="A18" s="65" t="s">
        <v>39</v>
      </c>
      <c r="B18" s="76" t="s">
        <v>40</v>
      </c>
      <c r="C18" s="68">
        <f t="shared" ref="C18:G18" si="8">SUM(C19:C22)</f>
        <v>20000000</v>
      </c>
      <c r="D18" s="68">
        <f t="shared" si="8"/>
        <v>0</v>
      </c>
      <c r="E18" s="68">
        <f t="shared" si="8"/>
        <v>9000000</v>
      </c>
      <c r="F18" s="68">
        <f t="shared" si="8"/>
        <v>15400000</v>
      </c>
      <c r="G18" s="68">
        <f t="shared" si="8"/>
        <v>0</v>
      </c>
      <c r="H18" s="68">
        <f>SUM(H19:H22)</f>
        <v>44400000</v>
      </c>
      <c r="I18" s="68">
        <f>SUM(I19:I22)</f>
        <v>27200000</v>
      </c>
      <c r="J18" s="68">
        <f>J19+J21+J22+J20</f>
        <v>11400000</v>
      </c>
      <c r="K18" s="68">
        <f t="shared" ref="K18" si="9">K19+K21+K22</f>
        <v>20000000</v>
      </c>
      <c r="L18" s="69">
        <f t="shared" si="2"/>
        <v>0.45045045045045046</v>
      </c>
      <c r="M18" s="75">
        <f t="shared" si="4"/>
        <v>38600000</v>
      </c>
      <c r="N18" s="75">
        <f>SUM(N19:N22)</f>
        <v>5800000</v>
      </c>
      <c r="O18" s="71">
        <f t="shared" si="3"/>
        <v>0.13063063063063063</v>
      </c>
    </row>
    <row r="19" spans="1:15" ht="15" x14ac:dyDescent="0.25">
      <c r="A19" s="19" t="s">
        <v>41</v>
      </c>
      <c r="B19" s="30" t="s">
        <v>42</v>
      </c>
      <c r="C19" s="31">
        <v>20000000</v>
      </c>
      <c r="D19" s="22"/>
      <c r="E19" s="23"/>
      <c r="F19" s="36"/>
      <c r="G19" s="63"/>
      <c r="H19" s="21">
        <f t="shared" si="6"/>
        <v>20000000</v>
      </c>
      <c r="I19" s="22">
        <f>ENERO!J19+FEBRERO!J19+MARZO!J19+ABRIL!J19+MAYO!J19</f>
        <v>20000000</v>
      </c>
      <c r="J19" s="22">
        <v>0</v>
      </c>
      <c r="K19" s="21">
        <f t="shared" si="7"/>
        <v>20000000</v>
      </c>
      <c r="L19" s="16">
        <f t="shared" si="2"/>
        <v>1</v>
      </c>
      <c r="M19" s="25">
        <f t="shared" si="4"/>
        <v>20000000</v>
      </c>
      <c r="N19" s="26">
        <f>H19-K19</f>
        <v>0</v>
      </c>
      <c r="O19" s="18">
        <f>N19/H19</f>
        <v>0</v>
      </c>
    </row>
    <row r="20" spans="1:15" ht="15" x14ac:dyDescent="0.25">
      <c r="A20" s="19">
        <v>45</v>
      </c>
      <c r="B20" s="30" t="s">
        <v>42</v>
      </c>
      <c r="C20" s="31"/>
      <c r="D20" s="22"/>
      <c r="E20" s="23">
        <v>9000000</v>
      </c>
      <c r="F20" s="36">
        <v>15400000</v>
      </c>
      <c r="G20" s="63"/>
      <c r="H20" s="21">
        <f t="shared" si="6"/>
        <v>24400000</v>
      </c>
      <c r="I20" s="22">
        <f>ENERO!J20+FEBRERO!J20+MARZO!J20+ABRIL!J20+MAYO!J20</f>
        <v>7200000</v>
      </c>
      <c r="J20" s="22">
        <v>11400000</v>
      </c>
      <c r="K20" s="21">
        <f t="shared" si="7"/>
        <v>18600000</v>
      </c>
      <c r="L20" s="16">
        <f t="shared" si="2"/>
        <v>0.76229508196721307</v>
      </c>
      <c r="M20" s="25">
        <f t="shared" si="4"/>
        <v>18600000</v>
      </c>
      <c r="N20" s="26">
        <f>H20-K20</f>
        <v>5800000</v>
      </c>
      <c r="O20" s="18">
        <f>N20/H20</f>
        <v>0.23770491803278687</v>
      </c>
    </row>
    <row r="21" spans="1:15" ht="15" x14ac:dyDescent="0.25">
      <c r="A21" s="19" t="s">
        <v>43</v>
      </c>
      <c r="B21" s="20" t="s">
        <v>44</v>
      </c>
      <c r="C21" s="32">
        <v>0</v>
      </c>
      <c r="D21" s="22"/>
      <c r="E21" s="23"/>
      <c r="F21" s="36"/>
      <c r="G21" s="63"/>
      <c r="H21" s="21">
        <f t="shared" si="6"/>
        <v>0</v>
      </c>
      <c r="I21" s="22">
        <f>ENERO!J21+FEBRERO!J21+MARZO!J21+ABRIL!J21+MAYO!J21</f>
        <v>0</v>
      </c>
      <c r="J21" s="22">
        <v>0</v>
      </c>
      <c r="K21" s="21">
        <f t="shared" si="7"/>
        <v>0</v>
      </c>
      <c r="L21" s="16">
        <v>0</v>
      </c>
      <c r="M21" s="25">
        <f t="shared" si="4"/>
        <v>0</v>
      </c>
      <c r="N21" s="26">
        <f>H21-K21</f>
        <v>0</v>
      </c>
      <c r="O21" s="18">
        <v>0</v>
      </c>
    </row>
    <row r="22" spans="1:15" ht="15" x14ac:dyDescent="0.25">
      <c r="A22" s="19" t="s">
        <v>45</v>
      </c>
      <c r="B22" s="33" t="s">
        <v>46</v>
      </c>
      <c r="C22" s="31">
        <v>0</v>
      </c>
      <c r="D22" s="22"/>
      <c r="E22" s="23"/>
      <c r="F22" s="36"/>
      <c r="G22" s="63"/>
      <c r="H22" s="21">
        <f t="shared" si="6"/>
        <v>0</v>
      </c>
      <c r="I22" s="22">
        <f>ENERO!J21+FEBRERO!J21+MARZO!J21+ABRIL!I21</f>
        <v>0</v>
      </c>
      <c r="J22" s="27">
        <v>0</v>
      </c>
      <c r="K22" s="21">
        <f t="shared" si="7"/>
        <v>0</v>
      </c>
      <c r="L22" s="16">
        <v>0</v>
      </c>
      <c r="M22" s="25">
        <f t="shared" si="4"/>
        <v>0</v>
      </c>
      <c r="N22" s="26">
        <f>H22-K22</f>
        <v>0</v>
      </c>
      <c r="O22" s="18">
        <v>0</v>
      </c>
    </row>
    <row r="23" spans="1:15" s="72" customFormat="1" ht="27.75" customHeight="1" x14ac:dyDescent="0.2">
      <c r="A23" s="65" t="s">
        <v>47</v>
      </c>
      <c r="B23" s="66" t="s">
        <v>48</v>
      </c>
      <c r="C23" s="68">
        <f t="shared" ref="C23:G23" si="10">SUM(C24:C29)</f>
        <v>26200000</v>
      </c>
      <c r="D23" s="68">
        <f t="shared" si="10"/>
        <v>0</v>
      </c>
      <c r="E23" s="68">
        <f t="shared" si="10"/>
        <v>25000000</v>
      </c>
      <c r="F23" s="68">
        <f t="shared" si="10"/>
        <v>3000000</v>
      </c>
      <c r="G23" s="68">
        <f t="shared" si="10"/>
        <v>14280000</v>
      </c>
      <c r="H23" s="68">
        <f>SUM(H24:H29)</f>
        <v>39920000</v>
      </c>
      <c r="I23" s="68">
        <f t="shared" ref="I23:J23" si="11">SUM(I24:I29)</f>
        <v>18734640</v>
      </c>
      <c r="J23" s="68">
        <f t="shared" si="11"/>
        <v>9446500</v>
      </c>
      <c r="K23" s="68">
        <f t="shared" ref="K23" si="12">K24+K26+K28+K29</f>
        <v>21585000</v>
      </c>
      <c r="L23" s="69">
        <f t="shared" si="2"/>
        <v>0.54070641282565135</v>
      </c>
      <c r="M23" s="75">
        <f t="shared" si="4"/>
        <v>28181140</v>
      </c>
      <c r="N23" s="68">
        <f t="shared" ref="N23" si="13">SUM(N24:N29)</f>
        <v>11738860</v>
      </c>
      <c r="O23" s="71">
        <f t="shared" si="3"/>
        <v>0.29405961923847695</v>
      </c>
    </row>
    <row r="24" spans="1:15" ht="15" x14ac:dyDescent="0.25">
      <c r="A24" s="19" t="s">
        <v>49</v>
      </c>
      <c r="B24" s="33" t="s">
        <v>50</v>
      </c>
      <c r="C24" s="31">
        <v>0</v>
      </c>
      <c r="D24" s="22"/>
      <c r="E24" s="23"/>
      <c r="F24" s="36">
        <v>2000000</v>
      </c>
      <c r="G24" s="63"/>
      <c r="H24" s="21">
        <f t="shared" ref="H24:H29" si="14">C24-D24+E24+F24-G24</f>
        <v>2000000</v>
      </c>
      <c r="I24" s="22">
        <f>ENERO!J23+FEBRERO!J23+MARZO!J23+ABRIL!J23+MAYO!J24</f>
        <v>0</v>
      </c>
      <c r="J24" s="27">
        <v>1585000</v>
      </c>
      <c r="K24" s="21">
        <f t="shared" ref="K24:K64" si="15">SUM(I24:J24)</f>
        <v>1585000</v>
      </c>
      <c r="L24" s="16">
        <v>0</v>
      </c>
      <c r="M24" s="17">
        <f t="shared" si="4"/>
        <v>1585000</v>
      </c>
      <c r="N24" s="26">
        <f t="shared" ref="N24:N29" si="16">H24-K24</f>
        <v>415000</v>
      </c>
      <c r="O24" s="18">
        <v>0</v>
      </c>
    </row>
    <row r="25" spans="1:15" ht="15" x14ac:dyDescent="0.25">
      <c r="A25" s="19">
        <v>45</v>
      </c>
      <c r="B25" s="33" t="s">
        <v>50</v>
      </c>
      <c r="C25" s="31">
        <v>0</v>
      </c>
      <c r="D25" s="22"/>
      <c r="E25" s="23"/>
      <c r="F25" s="36">
        <v>1000000</v>
      </c>
      <c r="G25" s="63"/>
      <c r="H25" s="21">
        <f t="shared" si="14"/>
        <v>1000000</v>
      </c>
      <c r="I25" s="22">
        <v>0</v>
      </c>
      <c r="J25" s="27"/>
      <c r="K25" s="21"/>
      <c r="L25" s="16">
        <v>0</v>
      </c>
      <c r="M25" s="17">
        <f t="shared" si="4"/>
        <v>0</v>
      </c>
      <c r="N25" s="26">
        <f t="shared" si="16"/>
        <v>1000000</v>
      </c>
      <c r="O25" s="18">
        <v>0</v>
      </c>
    </row>
    <row r="26" spans="1:15" ht="15" x14ac:dyDescent="0.25">
      <c r="A26" s="19" t="s">
        <v>51</v>
      </c>
      <c r="B26" s="34" t="s">
        <v>52</v>
      </c>
      <c r="C26" s="31">
        <v>25000000</v>
      </c>
      <c r="D26" s="22"/>
      <c r="E26" s="23">
        <v>0</v>
      </c>
      <c r="F26" s="36"/>
      <c r="G26" s="63">
        <v>5000000</v>
      </c>
      <c r="H26" s="21">
        <f t="shared" si="14"/>
        <v>20000000</v>
      </c>
      <c r="I26" s="22">
        <f>ENERO!J24+FEBRERO!J24+MARZO!J24+ABRIL!J24+MAYO!J25</f>
        <v>18734640</v>
      </c>
      <c r="J26" s="22">
        <v>1265360</v>
      </c>
      <c r="K26" s="21">
        <f t="shared" si="15"/>
        <v>20000000</v>
      </c>
      <c r="L26" s="16">
        <f t="shared" si="2"/>
        <v>1</v>
      </c>
      <c r="M26" s="25">
        <f t="shared" si="4"/>
        <v>20000000</v>
      </c>
      <c r="N26" s="26">
        <f t="shared" si="16"/>
        <v>0</v>
      </c>
      <c r="O26" s="35">
        <f t="shared" si="3"/>
        <v>0</v>
      </c>
    </row>
    <row r="27" spans="1:15" ht="15" x14ac:dyDescent="0.25">
      <c r="A27" s="19">
        <v>45</v>
      </c>
      <c r="B27" s="34" t="s">
        <v>52</v>
      </c>
      <c r="C27" s="31"/>
      <c r="D27" s="22"/>
      <c r="E27" s="23">
        <v>25000000</v>
      </c>
      <c r="F27" s="36"/>
      <c r="G27" s="63">
        <v>9280000</v>
      </c>
      <c r="H27" s="21">
        <f t="shared" si="14"/>
        <v>15720000</v>
      </c>
      <c r="I27" s="22">
        <f>MAYO!J26</f>
        <v>0</v>
      </c>
      <c r="J27" s="22">
        <v>6596140</v>
      </c>
      <c r="K27" s="21">
        <f t="shared" si="15"/>
        <v>6596140</v>
      </c>
      <c r="L27" s="16"/>
      <c r="M27" s="25">
        <f t="shared" si="4"/>
        <v>6596140</v>
      </c>
      <c r="N27" s="26">
        <f t="shared" si="16"/>
        <v>9123860</v>
      </c>
      <c r="O27" s="35"/>
    </row>
    <row r="28" spans="1:15" ht="15" x14ac:dyDescent="0.25">
      <c r="A28" s="19" t="s">
        <v>53</v>
      </c>
      <c r="B28" s="33" t="s">
        <v>54</v>
      </c>
      <c r="C28" s="32">
        <v>1200000</v>
      </c>
      <c r="D28" s="22"/>
      <c r="E28" s="23"/>
      <c r="F28" s="36"/>
      <c r="G28" s="64"/>
      <c r="H28" s="21">
        <f t="shared" si="14"/>
        <v>1200000</v>
      </c>
      <c r="I28" s="22">
        <f>ENERO!J25+FEBRERO!J25+MARZO!J25+ABRIL!J25+MAYO!J27</f>
        <v>0</v>
      </c>
      <c r="J28" s="22">
        <v>0</v>
      </c>
      <c r="K28" s="21">
        <f t="shared" si="15"/>
        <v>0</v>
      </c>
      <c r="L28" s="16">
        <f t="shared" si="2"/>
        <v>0</v>
      </c>
      <c r="M28" s="17">
        <f t="shared" si="4"/>
        <v>0</v>
      </c>
      <c r="N28" s="26">
        <f t="shared" si="16"/>
        <v>1200000</v>
      </c>
      <c r="O28" s="35">
        <f t="shared" si="3"/>
        <v>1</v>
      </c>
    </row>
    <row r="29" spans="1:15" ht="15" x14ac:dyDescent="0.25">
      <c r="A29" s="19" t="s">
        <v>55</v>
      </c>
      <c r="B29" s="33" t="s">
        <v>56</v>
      </c>
      <c r="C29" s="32">
        <v>0</v>
      </c>
      <c r="D29" s="22"/>
      <c r="E29" s="23"/>
      <c r="F29" s="36"/>
      <c r="G29" s="63"/>
      <c r="H29" s="21">
        <f t="shared" si="14"/>
        <v>0</v>
      </c>
      <c r="I29" s="22">
        <f>ENERO!J26+FEBRERO!J26+MARZO!J26+ABRIL!J26+MAYO!J28</f>
        <v>0</v>
      </c>
      <c r="J29" s="22">
        <v>0</v>
      </c>
      <c r="K29" s="21">
        <f t="shared" si="15"/>
        <v>0</v>
      </c>
      <c r="L29" s="16">
        <v>0</v>
      </c>
      <c r="M29" s="17">
        <f t="shared" si="4"/>
        <v>0</v>
      </c>
      <c r="N29" s="26">
        <f t="shared" si="16"/>
        <v>0</v>
      </c>
      <c r="O29" s="35">
        <v>0</v>
      </c>
    </row>
    <row r="30" spans="1:15" s="72" customFormat="1" ht="27.75" customHeight="1" x14ac:dyDescent="0.2">
      <c r="A30" s="65" t="s">
        <v>57</v>
      </c>
      <c r="B30" s="66" t="s">
        <v>58</v>
      </c>
      <c r="C30" s="68">
        <f t="shared" ref="C30:J30" si="17">SUM(C31:C48)</f>
        <v>119922165</v>
      </c>
      <c r="D30" s="68">
        <f t="shared" si="17"/>
        <v>0</v>
      </c>
      <c r="E30" s="68">
        <f t="shared" si="17"/>
        <v>47431604</v>
      </c>
      <c r="F30" s="68">
        <f t="shared" si="17"/>
        <v>38380000</v>
      </c>
      <c r="G30" s="68">
        <f t="shared" si="17"/>
        <v>23600000</v>
      </c>
      <c r="H30" s="68">
        <f t="shared" si="17"/>
        <v>182133769</v>
      </c>
      <c r="I30" s="68">
        <f t="shared" si="17"/>
        <v>98626805</v>
      </c>
      <c r="J30" s="68">
        <f t="shared" si="17"/>
        <v>6447356</v>
      </c>
      <c r="K30" s="68">
        <f>K31+K33+K35+K36+K37+K38+K39+K40+K41+K42+K43+K44+K45</f>
        <v>92941855</v>
      </c>
      <c r="L30" s="69">
        <f t="shared" si="2"/>
        <v>0.51029446933588685</v>
      </c>
      <c r="M30" s="70">
        <f>I30+J30</f>
        <v>105074161</v>
      </c>
      <c r="N30" s="75">
        <f>SUM(N31:N48)</f>
        <v>77059608</v>
      </c>
      <c r="O30" s="71">
        <f t="shared" si="3"/>
        <v>0.42309346818601223</v>
      </c>
    </row>
    <row r="31" spans="1:15" ht="15" x14ac:dyDescent="0.25">
      <c r="A31" s="19" t="s">
        <v>59</v>
      </c>
      <c r="B31" s="33" t="s">
        <v>60</v>
      </c>
      <c r="C31" s="31">
        <v>10000000</v>
      </c>
      <c r="D31" s="22"/>
      <c r="E31" s="23">
        <v>0</v>
      </c>
      <c r="F31" s="36">
        <v>2500000</v>
      </c>
      <c r="G31" s="63"/>
      <c r="H31" s="21">
        <f t="shared" ref="H31:H48" si="18">C31-D31+E31+F31-G31</f>
        <v>12500000</v>
      </c>
      <c r="I31" s="22">
        <f>ENERO!J28+FEBRERO!J28+MARZO!J28+ABRIL!J28+MAYO!J30</f>
        <v>12500000</v>
      </c>
      <c r="J31" s="22">
        <v>0</v>
      </c>
      <c r="K31" s="21">
        <f t="shared" si="15"/>
        <v>12500000</v>
      </c>
      <c r="L31" s="16">
        <f t="shared" si="2"/>
        <v>1</v>
      </c>
      <c r="M31" s="25">
        <f t="shared" si="4"/>
        <v>12500000</v>
      </c>
      <c r="N31" s="26">
        <f t="shared" ref="N31:N44" si="19">H31-K31</f>
        <v>0</v>
      </c>
      <c r="O31" s="35">
        <f t="shared" si="3"/>
        <v>0</v>
      </c>
    </row>
    <row r="32" spans="1:15" ht="15" x14ac:dyDescent="0.25">
      <c r="A32" s="19">
        <v>45</v>
      </c>
      <c r="B32" s="33" t="s">
        <v>60</v>
      </c>
      <c r="C32" s="31"/>
      <c r="D32" s="22"/>
      <c r="E32" s="23">
        <v>15000000</v>
      </c>
      <c r="F32" s="36"/>
      <c r="G32" s="63">
        <v>8000000</v>
      </c>
      <c r="H32" s="21">
        <f t="shared" si="18"/>
        <v>7000000</v>
      </c>
      <c r="I32" s="22">
        <f>MAYO!J31</f>
        <v>896891</v>
      </c>
      <c r="J32" s="22">
        <v>340000</v>
      </c>
      <c r="K32" s="21">
        <f t="shared" si="15"/>
        <v>1236891</v>
      </c>
      <c r="L32" s="16">
        <f t="shared" si="2"/>
        <v>0.17669871428571429</v>
      </c>
      <c r="M32" s="25">
        <f t="shared" si="4"/>
        <v>1236891</v>
      </c>
      <c r="N32" s="26">
        <f t="shared" si="19"/>
        <v>5763109</v>
      </c>
      <c r="O32" s="35"/>
    </row>
    <row r="33" spans="1:15" ht="15" x14ac:dyDescent="0.25">
      <c r="A33" s="19" t="s">
        <v>61</v>
      </c>
      <c r="B33" s="33" t="s">
        <v>62</v>
      </c>
      <c r="C33" s="31">
        <v>25000000</v>
      </c>
      <c r="D33" s="22"/>
      <c r="E33" s="23">
        <v>0</v>
      </c>
      <c r="F33" s="36">
        <f>30000000+5000000</f>
        <v>35000000</v>
      </c>
      <c r="G33" s="63"/>
      <c r="H33" s="21">
        <f t="shared" si="18"/>
        <v>60000000</v>
      </c>
      <c r="I33" s="22">
        <f>ENERO!J29+FEBRERO!J29+MARZO!J29+ABRIL!J29+MAYO!J32</f>
        <v>60000000</v>
      </c>
      <c r="J33" s="22">
        <v>0</v>
      </c>
      <c r="K33" s="21">
        <f t="shared" si="15"/>
        <v>60000000</v>
      </c>
      <c r="L33" s="16">
        <f t="shared" si="2"/>
        <v>1</v>
      </c>
      <c r="M33" s="25">
        <f>J33+I33</f>
        <v>60000000</v>
      </c>
      <c r="N33" s="26">
        <f t="shared" si="19"/>
        <v>0</v>
      </c>
      <c r="O33" s="35">
        <f t="shared" si="3"/>
        <v>0</v>
      </c>
    </row>
    <row r="34" spans="1:15" ht="15" x14ac:dyDescent="0.25">
      <c r="A34" s="19">
        <v>45</v>
      </c>
      <c r="B34" s="33" t="s">
        <v>62</v>
      </c>
      <c r="C34" s="31"/>
      <c r="D34" s="22"/>
      <c r="E34" s="23">
        <v>32431604</v>
      </c>
      <c r="F34" s="36"/>
      <c r="G34" s="63"/>
      <c r="H34" s="21">
        <f t="shared" si="18"/>
        <v>32431604</v>
      </c>
      <c r="I34" s="22">
        <f>MAYO!J33</f>
        <v>6847940</v>
      </c>
      <c r="J34" s="22">
        <v>4047475</v>
      </c>
      <c r="K34" s="21">
        <f t="shared" si="15"/>
        <v>10895415</v>
      </c>
      <c r="L34" s="16">
        <f t="shared" si="2"/>
        <v>0.33595054379672373</v>
      </c>
      <c r="M34" s="25">
        <f>J34+I34</f>
        <v>10895415</v>
      </c>
      <c r="N34" s="26">
        <f t="shared" si="19"/>
        <v>21536189</v>
      </c>
      <c r="O34" s="35">
        <f t="shared" si="3"/>
        <v>0.66404945620327627</v>
      </c>
    </row>
    <row r="35" spans="1:15" ht="15" x14ac:dyDescent="0.25">
      <c r="A35" s="19" t="s">
        <v>63</v>
      </c>
      <c r="B35" s="33" t="s">
        <v>64</v>
      </c>
      <c r="C35" s="31">
        <v>4400000</v>
      </c>
      <c r="D35" s="22"/>
      <c r="E35" s="23"/>
      <c r="F35" s="36"/>
      <c r="G35" s="63">
        <v>2000000</v>
      </c>
      <c r="H35" s="21">
        <f t="shared" si="18"/>
        <v>2400000</v>
      </c>
      <c r="I35" s="22">
        <f>ENERO!J30+FEBRERO!J30+MARZO!J30+ABRIL!J30+MAYO!J34</f>
        <v>1307000</v>
      </c>
      <c r="J35" s="43">
        <v>0</v>
      </c>
      <c r="K35" s="21">
        <f t="shared" si="15"/>
        <v>1307000</v>
      </c>
      <c r="L35" s="16">
        <f t="shared" si="2"/>
        <v>0.54458333333333331</v>
      </c>
      <c r="M35" s="25">
        <f t="shared" si="4"/>
        <v>1307000</v>
      </c>
      <c r="N35" s="26">
        <f t="shared" si="19"/>
        <v>1093000</v>
      </c>
      <c r="O35" s="35">
        <f t="shared" si="3"/>
        <v>0.45541666666666669</v>
      </c>
    </row>
    <row r="36" spans="1:15" ht="15" x14ac:dyDescent="0.25">
      <c r="A36" s="19" t="s">
        <v>65</v>
      </c>
      <c r="B36" s="33" t="s">
        <v>66</v>
      </c>
      <c r="C36" s="32">
        <v>10000000</v>
      </c>
      <c r="D36" s="22"/>
      <c r="E36" s="23"/>
      <c r="F36" s="36"/>
      <c r="G36" s="63"/>
      <c r="H36" s="21">
        <f t="shared" si="18"/>
        <v>10000000</v>
      </c>
      <c r="I36" s="22">
        <f>ENERO!J31+FEBRERO!J31+MARZO!J31+ABRIL!J31+MAYO!J35</f>
        <v>5537502</v>
      </c>
      <c r="J36" s="43">
        <v>788300</v>
      </c>
      <c r="K36" s="21">
        <f t="shared" si="15"/>
        <v>6325802</v>
      </c>
      <c r="L36" s="16">
        <f t="shared" si="2"/>
        <v>0.63258020000000004</v>
      </c>
      <c r="M36" s="25">
        <f t="shared" si="4"/>
        <v>6325802</v>
      </c>
      <c r="N36" s="26">
        <f t="shared" si="19"/>
        <v>3674198</v>
      </c>
      <c r="O36" s="18">
        <f t="shared" si="3"/>
        <v>0.36741980000000002</v>
      </c>
    </row>
    <row r="37" spans="1:15" ht="15" x14ac:dyDescent="0.25">
      <c r="A37" s="19" t="s">
        <v>67</v>
      </c>
      <c r="B37" s="33" t="s">
        <v>68</v>
      </c>
      <c r="C37" s="32">
        <v>4800000</v>
      </c>
      <c r="D37" s="22"/>
      <c r="E37" s="23"/>
      <c r="F37" s="36"/>
      <c r="G37" s="63"/>
      <c r="H37" s="21">
        <f t="shared" si="18"/>
        <v>4800000</v>
      </c>
      <c r="I37" s="22">
        <f>ENERO!J32+FEBRERO!J32+MARZO!J32+ABRIL!J32+MAYO!J36</f>
        <v>2616822</v>
      </c>
      <c r="J37" s="43">
        <v>555511</v>
      </c>
      <c r="K37" s="21">
        <f t="shared" si="15"/>
        <v>3172333</v>
      </c>
      <c r="L37" s="16">
        <f t="shared" si="2"/>
        <v>0.66090270833333331</v>
      </c>
      <c r="M37" s="25">
        <f t="shared" si="4"/>
        <v>3172333</v>
      </c>
      <c r="N37" s="26">
        <f t="shared" si="19"/>
        <v>1627667</v>
      </c>
      <c r="O37" s="18">
        <f t="shared" si="3"/>
        <v>0.33909729166666669</v>
      </c>
    </row>
    <row r="38" spans="1:15" ht="15" x14ac:dyDescent="0.25">
      <c r="A38" s="19" t="s">
        <v>69</v>
      </c>
      <c r="B38" s="33" t="s">
        <v>70</v>
      </c>
      <c r="C38" s="32">
        <v>3200000</v>
      </c>
      <c r="D38" s="22"/>
      <c r="E38" s="23"/>
      <c r="F38" s="36"/>
      <c r="G38" s="63"/>
      <c r="H38" s="21">
        <f t="shared" si="18"/>
        <v>3200000</v>
      </c>
      <c r="I38" s="22">
        <f>ENERO!J33+FEBRERO!J33+MARZO!J33+ABRIL!J33+MAYO!J37</f>
        <v>568650</v>
      </c>
      <c r="J38" s="27">
        <v>98070</v>
      </c>
      <c r="K38" s="21">
        <f t="shared" si="15"/>
        <v>666720</v>
      </c>
      <c r="L38" s="16">
        <f t="shared" si="2"/>
        <v>0.20835000000000001</v>
      </c>
      <c r="M38" s="25">
        <f t="shared" si="4"/>
        <v>666720</v>
      </c>
      <c r="N38" s="26">
        <f t="shared" si="19"/>
        <v>2533280</v>
      </c>
      <c r="O38" s="18">
        <v>0</v>
      </c>
    </row>
    <row r="39" spans="1:15" ht="15" x14ac:dyDescent="0.25">
      <c r="A39" s="19" t="s">
        <v>71</v>
      </c>
      <c r="B39" s="34" t="s">
        <v>72</v>
      </c>
      <c r="C39" s="32">
        <v>3822165</v>
      </c>
      <c r="D39" s="22"/>
      <c r="E39" s="23"/>
      <c r="F39" s="36"/>
      <c r="G39" s="63"/>
      <c r="H39" s="21">
        <f t="shared" si="18"/>
        <v>3822165</v>
      </c>
      <c r="I39" s="22">
        <f>ENERO!J34+FEBRERO!J34+MARZO!J34+ABRIL!J34</f>
        <v>0</v>
      </c>
      <c r="J39" s="22">
        <v>0</v>
      </c>
      <c r="K39" s="21">
        <f t="shared" si="15"/>
        <v>0</v>
      </c>
      <c r="L39" s="16">
        <f t="shared" si="2"/>
        <v>0</v>
      </c>
      <c r="M39" s="25">
        <f t="shared" si="4"/>
        <v>0</v>
      </c>
      <c r="N39" s="26">
        <f t="shared" si="19"/>
        <v>3822165</v>
      </c>
      <c r="O39" s="18">
        <f t="shared" ref="O39:O68" si="20">N39/H39</f>
        <v>1</v>
      </c>
    </row>
    <row r="40" spans="1:15" ht="15" x14ac:dyDescent="0.25">
      <c r="A40" s="19" t="s">
        <v>73</v>
      </c>
      <c r="B40" s="33" t="s">
        <v>74</v>
      </c>
      <c r="C40" s="32">
        <v>0</v>
      </c>
      <c r="D40" s="22"/>
      <c r="E40" s="23"/>
      <c r="F40" s="38"/>
      <c r="G40" s="63"/>
      <c r="H40" s="21">
        <f t="shared" si="18"/>
        <v>0</v>
      </c>
      <c r="I40" s="22">
        <f>ENERO!J35+FEBRERO!J35+MARZO!J35+ABRIL!J35</f>
        <v>0</v>
      </c>
      <c r="J40" s="22">
        <v>0</v>
      </c>
      <c r="K40" s="21">
        <f t="shared" si="15"/>
        <v>0</v>
      </c>
      <c r="L40" s="16">
        <v>0</v>
      </c>
      <c r="M40" s="25">
        <f t="shared" si="4"/>
        <v>0</v>
      </c>
      <c r="N40" s="26">
        <f t="shared" si="19"/>
        <v>0</v>
      </c>
      <c r="O40" s="18">
        <v>0</v>
      </c>
    </row>
    <row r="41" spans="1:15" ht="15" x14ac:dyDescent="0.25">
      <c r="A41" s="19" t="s">
        <v>75</v>
      </c>
      <c r="B41" s="33" t="s">
        <v>76</v>
      </c>
      <c r="C41" s="32">
        <v>11000000</v>
      </c>
      <c r="D41" s="22"/>
      <c r="E41" s="23"/>
      <c r="F41" s="36"/>
      <c r="G41" s="63">
        <v>3600000</v>
      </c>
      <c r="H41" s="21">
        <f t="shared" si="18"/>
        <v>7400000</v>
      </c>
      <c r="I41" s="22">
        <f>ENERO!J36+FEBRERO!J36+MARZO!J36+ABRIL!J36+MAYO!J40</f>
        <v>7400000</v>
      </c>
      <c r="J41" s="45">
        <v>0</v>
      </c>
      <c r="K41" s="21">
        <f t="shared" si="15"/>
        <v>7400000</v>
      </c>
      <c r="L41" s="16">
        <f t="shared" si="2"/>
        <v>1</v>
      </c>
      <c r="M41" s="25">
        <f t="shared" si="4"/>
        <v>7400000</v>
      </c>
      <c r="N41" s="26">
        <f t="shared" si="19"/>
        <v>0</v>
      </c>
      <c r="O41" s="18">
        <f t="shared" si="20"/>
        <v>0</v>
      </c>
    </row>
    <row r="42" spans="1:15" ht="15" x14ac:dyDescent="0.25">
      <c r="A42" s="19" t="s">
        <v>77</v>
      </c>
      <c r="B42" s="34" t="s">
        <v>78</v>
      </c>
      <c r="C42" s="32">
        <v>20700000</v>
      </c>
      <c r="D42" s="22"/>
      <c r="E42" s="23"/>
      <c r="F42" s="36"/>
      <c r="G42" s="63">
        <v>10000000</v>
      </c>
      <c r="H42" s="21">
        <f t="shared" si="18"/>
        <v>10700000</v>
      </c>
      <c r="I42" s="22">
        <f>ENERO!J37+FEBRERO!J37+MARZO!J37+ABRIL!J37</f>
        <v>0</v>
      </c>
      <c r="J42" s="45">
        <v>0</v>
      </c>
      <c r="K42" s="21">
        <f t="shared" si="15"/>
        <v>0</v>
      </c>
      <c r="L42" s="16">
        <f t="shared" si="2"/>
        <v>0</v>
      </c>
      <c r="M42" s="25">
        <f t="shared" si="4"/>
        <v>0</v>
      </c>
      <c r="N42" s="26">
        <f t="shared" si="19"/>
        <v>10700000</v>
      </c>
      <c r="O42" s="35">
        <f t="shared" si="20"/>
        <v>1</v>
      </c>
    </row>
    <row r="43" spans="1:15" ht="15" x14ac:dyDescent="0.25">
      <c r="A43" s="19" t="s">
        <v>79</v>
      </c>
      <c r="B43" s="33" t="s">
        <v>80</v>
      </c>
      <c r="C43" s="32">
        <v>3000000</v>
      </c>
      <c r="D43" s="22"/>
      <c r="E43" s="23"/>
      <c r="F43" s="36"/>
      <c r="G43" s="63"/>
      <c r="H43" s="21">
        <f t="shared" si="18"/>
        <v>3000000</v>
      </c>
      <c r="I43" s="22">
        <f>ENERO!J38+FEBRERO!J38+MARZO!J38+ABRIL!J38+MAYO!J42</f>
        <v>952000</v>
      </c>
      <c r="J43" s="45">
        <v>618000</v>
      </c>
      <c r="K43" s="21">
        <f t="shared" si="15"/>
        <v>1570000</v>
      </c>
      <c r="L43" s="16">
        <f t="shared" si="2"/>
        <v>0.52333333333333332</v>
      </c>
      <c r="M43" s="25">
        <f t="shared" si="4"/>
        <v>1570000</v>
      </c>
      <c r="N43" s="26">
        <f t="shared" si="19"/>
        <v>1430000</v>
      </c>
      <c r="O43" s="35">
        <f t="shared" si="20"/>
        <v>0.47666666666666668</v>
      </c>
    </row>
    <row r="44" spans="1:15" ht="15" x14ac:dyDescent="0.25">
      <c r="A44" s="19" t="s">
        <v>81</v>
      </c>
      <c r="B44" s="33" t="s">
        <v>82</v>
      </c>
      <c r="C44" s="32">
        <v>20000000</v>
      </c>
      <c r="D44" s="22"/>
      <c r="E44" s="23"/>
      <c r="F44" s="36"/>
      <c r="G44" s="63"/>
      <c r="H44" s="21">
        <f t="shared" si="18"/>
        <v>20000000</v>
      </c>
      <c r="I44" s="22">
        <f>ENERO!J39+FEBRERO!J39+MARZO!J39+ABRIL!J39</f>
        <v>0</v>
      </c>
      <c r="J44" s="22">
        <v>0</v>
      </c>
      <c r="K44" s="21">
        <f t="shared" si="15"/>
        <v>0</v>
      </c>
      <c r="L44" s="16">
        <f t="shared" si="2"/>
        <v>0</v>
      </c>
      <c r="M44" s="25">
        <f t="shared" si="4"/>
        <v>0</v>
      </c>
      <c r="N44" s="26">
        <f t="shared" si="19"/>
        <v>20000000</v>
      </c>
      <c r="O44" s="18">
        <f t="shared" si="20"/>
        <v>1</v>
      </c>
    </row>
    <row r="45" spans="1:15" ht="15" x14ac:dyDescent="0.25">
      <c r="A45" s="19" t="s">
        <v>83</v>
      </c>
      <c r="B45" s="33" t="s">
        <v>84</v>
      </c>
      <c r="C45" s="32">
        <v>4000000</v>
      </c>
      <c r="D45" s="22"/>
      <c r="E45" s="23"/>
      <c r="F45" s="36"/>
      <c r="G45" s="63"/>
      <c r="H45" s="21">
        <f t="shared" si="18"/>
        <v>4000000</v>
      </c>
      <c r="I45" s="22">
        <f>ENERO!J40+FEBRERO!J40+MARZO!J40+ABRIL!J40</f>
        <v>0</v>
      </c>
      <c r="J45" s="22">
        <v>0</v>
      </c>
      <c r="K45" s="21">
        <f t="shared" si="15"/>
        <v>0</v>
      </c>
      <c r="L45" s="16">
        <f>K45/H45</f>
        <v>0</v>
      </c>
      <c r="M45" s="25">
        <f t="shared" si="4"/>
        <v>0</v>
      </c>
      <c r="N45" s="26">
        <f>H45-K45</f>
        <v>4000000</v>
      </c>
      <c r="O45" s="18">
        <f t="shared" si="20"/>
        <v>1</v>
      </c>
    </row>
    <row r="46" spans="1:15" ht="15" x14ac:dyDescent="0.25">
      <c r="A46" s="19" t="s">
        <v>85</v>
      </c>
      <c r="B46" s="33" t="s">
        <v>86</v>
      </c>
      <c r="C46" s="32">
        <v>0</v>
      </c>
      <c r="D46" s="22"/>
      <c r="E46" s="23"/>
      <c r="F46" s="36"/>
      <c r="G46" s="63"/>
      <c r="H46" s="21">
        <f t="shared" si="18"/>
        <v>0</v>
      </c>
      <c r="I46" s="22">
        <f>ENERO!J41+FEBRERO!J41+MARZO!J41+ABRIL!J41</f>
        <v>0</v>
      </c>
      <c r="J46" s="22">
        <v>0</v>
      </c>
      <c r="K46" s="21">
        <f t="shared" si="15"/>
        <v>0</v>
      </c>
      <c r="L46" s="16">
        <v>0</v>
      </c>
      <c r="M46" s="25">
        <f t="shared" si="4"/>
        <v>0</v>
      </c>
      <c r="N46" s="26">
        <f>H46-K46</f>
        <v>0</v>
      </c>
      <c r="O46" s="18">
        <v>0</v>
      </c>
    </row>
    <row r="47" spans="1:15" ht="15" x14ac:dyDescent="0.25">
      <c r="A47" s="183">
        <v>2020120215</v>
      </c>
      <c r="B47" s="33" t="s">
        <v>126</v>
      </c>
      <c r="C47" s="182">
        <v>0</v>
      </c>
      <c r="D47" s="22"/>
      <c r="E47" s="23"/>
      <c r="F47" s="36">
        <v>0</v>
      </c>
      <c r="G47" s="63"/>
      <c r="H47" s="21">
        <f t="shared" si="18"/>
        <v>0</v>
      </c>
      <c r="I47" s="22">
        <v>0</v>
      </c>
      <c r="J47" s="22">
        <v>0</v>
      </c>
      <c r="K47" s="21"/>
      <c r="L47" s="16">
        <v>0</v>
      </c>
      <c r="M47" s="25">
        <f t="shared" si="4"/>
        <v>0</v>
      </c>
      <c r="N47" s="26">
        <f>H47-K47</f>
        <v>0</v>
      </c>
      <c r="O47" s="18">
        <v>0</v>
      </c>
    </row>
    <row r="48" spans="1:15" ht="15" x14ac:dyDescent="0.25">
      <c r="A48" s="183">
        <v>45</v>
      </c>
      <c r="B48" s="33" t="s">
        <v>126</v>
      </c>
      <c r="C48" s="182">
        <v>0</v>
      </c>
      <c r="D48" s="22"/>
      <c r="E48" s="23"/>
      <c r="F48" s="36">
        <v>880000</v>
      </c>
      <c r="G48" s="63"/>
      <c r="H48" s="21">
        <f t="shared" si="18"/>
        <v>880000</v>
      </c>
      <c r="I48" s="22">
        <v>0</v>
      </c>
      <c r="J48" s="22">
        <v>0</v>
      </c>
      <c r="K48" s="21"/>
      <c r="L48" s="16">
        <v>0</v>
      </c>
      <c r="M48" s="25">
        <f t="shared" si="4"/>
        <v>0</v>
      </c>
      <c r="N48" s="26">
        <f>H48-K48</f>
        <v>880000</v>
      </c>
      <c r="O48" s="18">
        <v>0</v>
      </c>
    </row>
    <row r="49" spans="1:17" s="72" customFormat="1" ht="27.75" customHeight="1" x14ac:dyDescent="0.2">
      <c r="A49" s="65" t="s">
        <v>87</v>
      </c>
      <c r="B49" s="82" t="s">
        <v>88</v>
      </c>
      <c r="C49" s="73">
        <f>SUM(C50:C53)</f>
        <v>115800000</v>
      </c>
      <c r="D49" s="73">
        <f t="shared" ref="D49:J49" si="21">SUM(D50:D53)</f>
        <v>0</v>
      </c>
      <c r="E49" s="73">
        <f t="shared" si="21"/>
        <v>0</v>
      </c>
      <c r="F49" s="73">
        <f t="shared" si="21"/>
        <v>0</v>
      </c>
      <c r="G49" s="73">
        <f t="shared" si="21"/>
        <v>0</v>
      </c>
      <c r="H49" s="73">
        <f t="shared" si="21"/>
        <v>115800000</v>
      </c>
      <c r="I49" s="73">
        <f t="shared" si="21"/>
        <v>42395141</v>
      </c>
      <c r="J49" s="73">
        <f t="shared" si="21"/>
        <v>7784846</v>
      </c>
      <c r="K49" s="68">
        <f t="shared" ref="K49" si="22">K50+K51+K52+K53</f>
        <v>50179987</v>
      </c>
      <c r="L49" s="69">
        <f t="shared" si="2"/>
        <v>0.43333322107081174</v>
      </c>
      <c r="M49" s="73">
        <f t="shared" si="4"/>
        <v>50179987</v>
      </c>
      <c r="N49" s="73">
        <f t="shared" ref="N49" si="23">SUM(N50:N53)</f>
        <v>65620013</v>
      </c>
      <c r="O49" s="71">
        <f t="shared" si="20"/>
        <v>0.56666677892918826</v>
      </c>
    </row>
    <row r="50" spans="1:17" ht="15" x14ac:dyDescent="0.25">
      <c r="A50" s="19" t="s">
        <v>89</v>
      </c>
      <c r="B50" s="33" t="s">
        <v>90</v>
      </c>
      <c r="C50" s="21">
        <v>33000000</v>
      </c>
      <c r="D50" s="22"/>
      <c r="E50" s="23"/>
      <c r="F50" s="36"/>
      <c r="G50" s="63"/>
      <c r="H50" s="21">
        <f>C50-D50+E50+F50-G50</f>
        <v>33000000</v>
      </c>
      <c r="I50" s="22">
        <f>ENERO!J43+FEBRERO!J43+MARZO!J43+ABRIL!J43+MAYO!J52</f>
        <v>2092310</v>
      </c>
      <c r="J50" s="44">
        <v>0</v>
      </c>
      <c r="K50" s="21">
        <f t="shared" si="15"/>
        <v>2092310</v>
      </c>
      <c r="L50" s="16">
        <f t="shared" si="2"/>
        <v>6.3403333333333339E-2</v>
      </c>
      <c r="M50" s="25">
        <f t="shared" si="4"/>
        <v>2092310</v>
      </c>
      <c r="N50" s="26">
        <f>H50-K50</f>
        <v>30907690</v>
      </c>
      <c r="O50" s="18">
        <f t="shared" si="20"/>
        <v>0.93659666666666663</v>
      </c>
    </row>
    <row r="51" spans="1:17" ht="15" x14ac:dyDescent="0.25">
      <c r="A51" s="19" t="s">
        <v>91</v>
      </c>
      <c r="B51" s="33" t="s">
        <v>92</v>
      </c>
      <c r="C51" s="21">
        <v>38000000</v>
      </c>
      <c r="D51" s="22"/>
      <c r="E51" s="23"/>
      <c r="F51" s="36"/>
      <c r="G51" s="63"/>
      <c r="H51" s="21">
        <f>C51-D51+E51+F51-G51</f>
        <v>38000000</v>
      </c>
      <c r="I51" s="22">
        <f>ENERO!J44+FEBRERO!J44+MARZO!J44+ABRIL!J44+MAYO!J48</f>
        <v>16262647</v>
      </c>
      <c r="J51" s="43">
        <v>3137123</v>
      </c>
      <c r="K51" s="21">
        <f t="shared" si="15"/>
        <v>19399770</v>
      </c>
      <c r="L51" s="16">
        <f t="shared" si="2"/>
        <v>0.51052026315789478</v>
      </c>
      <c r="M51" s="25">
        <f t="shared" si="4"/>
        <v>19399770</v>
      </c>
      <c r="N51" s="26">
        <f>H51-K51</f>
        <v>18600230</v>
      </c>
      <c r="O51" s="18">
        <f t="shared" si="20"/>
        <v>0.48947973684210527</v>
      </c>
      <c r="Q51" s="37"/>
    </row>
    <row r="52" spans="1:17" ht="15" x14ac:dyDescent="0.25">
      <c r="A52" s="28">
        <v>2020110304</v>
      </c>
      <c r="B52" s="33" t="s">
        <v>93</v>
      </c>
      <c r="C52" s="21">
        <v>36800000</v>
      </c>
      <c r="D52" s="22"/>
      <c r="E52" s="23"/>
      <c r="F52" s="36"/>
      <c r="G52" s="63"/>
      <c r="H52" s="21">
        <f>C52-D52+E52+F52-G52</f>
        <v>36800000</v>
      </c>
      <c r="I52" s="22">
        <f>ENERO!J45+FEBRERO!J45+MARZO!J45+ABRIL!J45+MAYO!J49</f>
        <v>23476672</v>
      </c>
      <c r="J52" s="43">
        <v>4647723</v>
      </c>
      <c r="K52" s="21">
        <f t="shared" si="15"/>
        <v>28124395</v>
      </c>
      <c r="L52" s="16">
        <f t="shared" si="2"/>
        <v>0.76424986413043483</v>
      </c>
      <c r="M52" s="25">
        <f t="shared" si="4"/>
        <v>28124395</v>
      </c>
      <c r="N52" s="26">
        <f>H52-K52</f>
        <v>8675605</v>
      </c>
      <c r="O52" s="18">
        <f t="shared" si="20"/>
        <v>0.23575013586956522</v>
      </c>
      <c r="Q52" s="37"/>
    </row>
    <row r="53" spans="1:17" ht="15" x14ac:dyDescent="0.25">
      <c r="A53" s="28">
        <v>2020110305</v>
      </c>
      <c r="B53" s="33" t="s">
        <v>94</v>
      </c>
      <c r="C53" s="21">
        <v>8000000</v>
      </c>
      <c r="D53" s="15"/>
      <c r="E53" s="23"/>
      <c r="F53" s="36"/>
      <c r="G53" s="46"/>
      <c r="H53" s="21">
        <f>C53-D53+E53+F53-G53</f>
        <v>8000000</v>
      </c>
      <c r="I53" s="22">
        <f>ENERO!J46+FEBRERO!J46+MARZO!J46+ABRIL!J46+MAYO!J55</f>
        <v>563512</v>
      </c>
      <c r="J53" s="21">
        <v>0</v>
      </c>
      <c r="K53" s="21">
        <f t="shared" si="15"/>
        <v>563512</v>
      </c>
      <c r="L53" s="16">
        <f t="shared" si="2"/>
        <v>7.0439000000000002E-2</v>
      </c>
      <c r="M53" s="25">
        <f t="shared" si="4"/>
        <v>563512</v>
      </c>
      <c r="N53" s="26">
        <f>H53-K53</f>
        <v>7436488</v>
      </c>
      <c r="O53" s="18">
        <f t="shared" si="20"/>
        <v>0.92956099999999997</v>
      </c>
      <c r="Q53" s="37"/>
    </row>
    <row r="54" spans="1:17" s="72" customFormat="1" ht="27.75" customHeight="1" x14ac:dyDescent="0.2">
      <c r="A54" s="65">
        <v>20201104</v>
      </c>
      <c r="B54" s="83" t="s">
        <v>96</v>
      </c>
      <c r="C54" s="73">
        <f>SUM(C55:C64)</f>
        <v>100800000</v>
      </c>
      <c r="D54" s="73">
        <f t="shared" ref="D54:H54" si="24">SUM(D55:D64)</f>
        <v>0</v>
      </c>
      <c r="E54" s="73">
        <f t="shared" si="24"/>
        <v>0</v>
      </c>
      <c r="F54" s="73">
        <f t="shared" si="24"/>
        <v>0</v>
      </c>
      <c r="G54" s="73">
        <f t="shared" si="24"/>
        <v>0</v>
      </c>
      <c r="H54" s="73">
        <f t="shared" si="24"/>
        <v>100800000</v>
      </c>
      <c r="I54" s="68">
        <f>SUM(I55:I64)</f>
        <v>22858800</v>
      </c>
      <c r="J54" s="68">
        <f>SUM(J55:J64)</f>
        <v>3574500</v>
      </c>
      <c r="K54" s="68">
        <f t="shared" si="15"/>
        <v>26433300</v>
      </c>
      <c r="L54" s="69">
        <f t="shared" si="2"/>
        <v>0.26223511904761904</v>
      </c>
      <c r="M54" s="70">
        <f t="shared" si="4"/>
        <v>26433300</v>
      </c>
      <c r="N54" s="75">
        <f>SUM(N55:N64)</f>
        <v>74366700</v>
      </c>
      <c r="O54" s="71">
        <f t="shared" si="20"/>
        <v>0.73776488095238091</v>
      </c>
      <c r="Q54" s="79"/>
    </row>
    <row r="55" spans="1:17" ht="15" x14ac:dyDescent="0.25">
      <c r="A55" s="78" t="s">
        <v>97</v>
      </c>
      <c r="B55" s="33" t="s">
        <v>98</v>
      </c>
      <c r="C55" s="31">
        <v>21000000</v>
      </c>
      <c r="D55" s="22"/>
      <c r="E55" s="23"/>
      <c r="F55" s="36"/>
      <c r="G55" s="63"/>
      <c r="H55" s="21">
        <f t="shared" ref="H55:H67" si="25">C55-D55+E55+F55-G55</f>
        <v>21000000</v>
      </c>
      <c r="I55" s="22">
        <f>ENERO!J48+FEBRERO!J48+MARZO!J48+ABRIL!J48+MAYO!J52</f>
        <v>4435100</v>
      </c>
      <c r="J55" s="27">
        <v>0</v>
      </c>
      <c r="K55" s="21">
        <f t="shared" si="15"/>
        <v>4435100</v>
      </c>
      <c r="L55" s="16">
        <f t="shared" si="2"/>
        <v>0.2111952380952381</v>
      </c>
      <c r="M55" s="25">
        <f t="shared" si="4"/>
        <v>4435100</v>
      </c>
      <c r="N55" s="26">
        <f t="shared" ref="N55:N67" si="26">H55-K55</f>
        <v>16564900</v>
      </c>
      <c r="O55" s="18">
        <f t="shared" si="20"/>
        <v>0.7888047619047619</v>
      </c>
      <c r="Q55" s="37"/>
    </row>
    <row r="56" spans="1:17" ht="15" x14ac:dyDescent="0.25">
      <c r="A56" s="19" t="s">
        <v>99</v>
      </c>
      <c r="B56" s="33" t="s">
        <v>92</v>
      </c>
      <c r="C56" s="31">
        <v>0</v>
      </c>
      <c r="D56" s="22"/>
      <c r="E56" s="23"/>
      <c r="F56" s="36"/>
      <c r="G56" s="63"/>
      <c r="H56" s="21">
        <f t="shared" si="25"/>
        <v>0</v>
      </c>
      <c r="I56" s="22">
        <f>ENERO!J49+FEBRERO!J49+MARZO!J49+ABRIL!J49+MAYO!J53</f>
        <v>0</v>
      </c>
      <c r="J56" s="22">
        <v>0</v>
      </c>
      <c r="K56" s="21">
        <f t="shared" si="15"/>
        <v>0</v>
      </c>
      <c r="L56" s="16">
        <v>0</v>
      </c>
      <c r="M56" s="17">
        <f t="shared" si="4"/>
        <v>0</v>
      </c>
      <c r="N56" s="26">
        <f t="shared" si="26"/>
        <v>0</v>
      </c>
      <c r="O56" s="18">
        <v>0</v>
      </c>
      <c r="Q56" s="37"/>
    </row>
    <row r="57" spans="1:17" ht="15" x14ac:dyDescent="0.25">
      <c r="A57" s="19" t="s">
        <v>100</v>
      </c>
      <c r="B57" s="33" t="s">
        <v>101</v>
      </c>
      <c r="C57" s="31">
        <v>3000000</v>
      </c>
      <c r="D57" s="22"/>
      <c r="E57" s="23"/>
      <c r="F57" s="36"/>
      <c r="G57" s="63"/>
      <c r="H57" s="21">
        <f t="shared" si="25"/>
        <v>3000000</v>
      </c>
      <c r="I57" s="22">
        <f>ENERO!J50+FEBRERO!J50+MARZO!J50+ABRIL!J50+MAYO!J54</f>
        <v>1255400</v>
      </c>
      <c r="J57" s="43">
        <v>250300</v>
      </c>
      <c r="K57" s="21">
        <f t="shared" si="15"/>
        <v>1505700</v>
      </c>
      <c r="L57" s="16">
        <f t="shared" si="2"/>
        <v>0.50190000000000001</v>
      </c>
      <c r="M57" s="25">
        <f t="shared" si="4"/>
        <v>1505700</v>
      </c>
      <c r="N57" s="26">
        <f t="shared" si="26"/>
        <v>1494300</v>
      </c>
      <c r="O57" s="18">
        <f t="shared" si="20"/>
        <v>0.49809999999999999</v>
      </c>
      <c r="Q57" s="37"/>
    </row>
    <row r="58" spans="1:17" ht="15" x14ac:dyDescent="0.25">
      <c r="A58" s="19" t="s">
        <v>102</v>
      </c>
      <c r="B58" s="33" t="s">
        <v>93</v>
      </c>
      <c r="C58" s="32">
        <v>22000000</v>
      </c>
      <c r="D58" s="22"/>
      <c r="E58" s="23"/>
      <c r="F58" s="36"/>
      <c r="G58" s="63"/>
      <c r="H58" s="21">
        <f t="shared" si="25"/>
        <v>22000000</v>
      </c>
      <c r="I58" s="22">
        <f>ENERO!J51+FEBRERO!J51+MARZO!J51+ABRIL!J51+MAYO!J55</f>
        <v>0</v>
      </c>
      <c r="J58" s="39">
        <v>0</v>
      </c>
      <c r="K58" s="21">
        <f t="shared" si="15"/>
        <v>0</v>
      </c>
      <c r="L58" s="16">
        <f t="shared" si="2"/>
        <v>0</v>
      </c>
      <c r="M58" s="25">
        <f t="shared" si="4"/>
        <v>0</v>
      </c>
      <c r="N58" s="26">
        <f t="shared" si="26"/>
        <v>22000000</v>
      </c>
      <c r="O58" s="18">
        <f t="shared" si="20"/>
        <v>1</v>
      </c>
      <c r="Q58" s="37"/>
    </row>
    <row r="59" spans="1:17" ht="15" x14ac:dyDescent="0.25">
      <c r="A59" s="19" t="s">
        <v>103</v>
      </c>
      <c r="B59" s="33" t="s">
        <v>104</v>
      </c>
      <c r="C59" s="32">
        <v>23000000</v>
      </c>
      <c r="D59" s="22"/>
      <c r="E59" s="23"/>
      <c r="F59" s="36"/>
      <c r="G59" s="63"/>
      <c r="H59" s="21">
        <f t="shared" si="25"/>
        <v>23000000</v>
      </c>
      <c r="I59" s="22">
        <f>ENERO!J52+FEBRERO!J52+MARZO!J52+ABRIL!J52+MAYO!J56</f>
        <v>7653700</v>
      </c>
      <c r="J59" s="43">
        <v>1476400</v>
      </c>
      <c r="K59" s="21">
        <f t="shared" si="15"/>
        <v>9130100</v>
      </c>
      <c r="L59" s="16">
        <f t="shared" si="2"/>
        <v>0.39696086956521737</v>
      </c>
      <c r="M59" s="25">
        <f t="shared" si="4"/>
        <v>9130100</v>
      </c>
      <c r="N59" s="26">
        <f t="shared" si="26"/>
        <v>13869900</v>
      </c>
      <c r="O59" s="18">
        <f t="shared" si="20"/>
        <v>0.60303913043478263</v>
      </c>
      <c r="Q59" s="37"/>
    </row>
    <row r="60" spans="1:17" ht="15" x14ac:dyDescent="0.25">
      <c r="A60" s="19" t="s">
        <v>105</v>
      </c>
      <c r="B60" s="33" t="s">
        <v>106</v>
      </c>
      <c r="C60" s="32">
        <v>19800000</v>
      </c>
      <c r="D60" s="22"/>
      <c r="E60" s="23"/>
      <c r="F60" s="36"/>
      <c r="G60" s="63"/>
      <c r="H60" s="21">
        <f t="shared" si="25"/>
        <v>19800000</v>
      </c>
      <c r="I60" s="22">
        <f>ENERO!J53+FEBRERO!J53+MARZO!J53+ABRIL!J53+MAYO!J57</f>
        <v>5740900</v>
      </c>
      <c r="J60" s="43">
        <v>1107700</v>
      </c>
      <c r="K60" s="21">
        <f t="shared" si="15"/>
        <v>6848600</v>
      </c>
      <c r="L60" s="16">
        <f t="shared" si="2"/>
        <v>0.34588888888888891</v>
      </c>
      <c r="M60" s="25">
        <f t="shared" si="4"/>
        <v>6848600</v>
      </c>
      <c r="N60" s="26">
        <f t="shared" si="26"/>
        <v>12951400</v>
      </c>
      <c r="O60" s="18">
        <f t="shared" si="20"/>
        <v>0.65411111111111109</v>
      </c>
      <c r="Q60" s="37"/>
    </row>
    <row r="61" spans="1:17" ht="15" x14ac:dyDescent="0.25">
      <c r="A61" s="19" t="s">
        <v>107</v>
      </c>
      <c r="B61" s="33" t="s">
        <v>108</v>
      </c>
      <c r="C61" s="32">
        <v>3000000</v>
      </c>
      <c r="D61" s="22"/>
      <c r="E61" s="23"/>
      <c r="F61" s="36"/>
      <c r="G61" s="63"/>
      <c r="H61" s="21">
        <f t="shared" si="25"/>
        <v>3000000</v>
      </c>
      <c r="I61" s="22">
        <f>ENERO!J54+FEBRERO!J54+MARZO!J54+ABRIL!J54+MAYO!J58</f>
        <v>939200</v>
      </c>
      <c r="J61" s="43">
        <v>185200</v>
      </c>
      <c r="K61" s="21">
        <f t="shared" si="15"/>
        <v>1124400</v>
      </c>
      <c r="L61" s="16">
        <f t="shared" si="2"/>
        <v>0.37480000000000002</v>
      </c>
      <c r="M61" s="25">
        <f t="shared" si="4"/>
        <v>1124400</v>
      </c>
      <c r="N61" s="26">
        <f t="shared" si="26"/>
        <v>1875600</v>
      </c>
      <c r="O61" s="18">
        <f t="shared" si="20"/>
        <v>0.62519999999999998</v>
      </c>
      <c r="Q61" s="37"/>
    </row>
    <row r="62" spans="1:17" ht="15" x14ac:dyDescent="0.25">
      <c r="A62" s="19" t="s">
        <v>109</v>
      </c>
      <c r="B62" s="33" t="s">
        <v>110</v>
      </c>
      <c r="C62" s="32">
        <v>3000000</v>
      </c>
      <c r="D62" s="22"/>
      <c r="E62" s="23"/>
      <c r="F62" s="36"/>
      <c r="G62" s="63"/>
      <c r="H62" s="21">
        <f t="shared" si="25"/>
        <v>3000000</v>
      </c>
      <c r="I62" s="22">
        <f>ENERO!J55+FEBRERO!J55+MARZO!J55+ABRIL!J55+MAYO!J59</f>
        <v>958600</v>
      </c>
      <c r="J62" s="43">
        <v>185200</v>
      </c>
      <c r="K62" s="21">
        <f t="shared" si="15"/>
        <v>1143800</v>
      </c>
      <c r="L62" s="16">
        <f t="shared" si="2"/>
        <v>0.38126666666666664</v>
      </c>
      <c r="M62" s="25">
        <f t="shared" si="4"/>
        <v>1143800</v>
      </c>
      <c r="N62" s="26">
        <f t="shared" si="26"/>
        <v>1856200</v>
      </c>
      <c r="O62" s="18">
        <f t="shared" si="20"/>
        <v>0.61873333333333336</v>
      </c>
      <c r="Q62" s="37"/>
    </row>
    <row r="63" spans="1:17" ht="15" x14ac:dyDescent="0.25">
      <c r="A63" s="19" t="s">
        <v>111</v>
      </c>
      <c r="B63" s="33" t="s">
        <v>112</v>
      </c>
      <c r="C63" s="32">
        <v>6000000</v>
      </c>
      <c r="D63" s="22"/>
      <c r="E63" s="23"/>
      <c r="F63" s="36"/>
      <c r="G63" s="63"/>
      <c r="H63" s="21">
        <f t="shared" si="25"/>
        <v>6000000</v>
      </c>
      <c r="I63" s="22">
        <f>ENERO!J56+FEBRERO!J56+MARZO!J56+ABRIL!J56+MAYO!J60</f>
        <v>1875900</v>
      </c>
      <c r="J63" s="43">
        <v>369700</v>
      </c>
      <c r="K63" s="21">
        <f t="shared" si="15"/>
        <v>2245600</v>
      </c>
      <c r="L63" s="16">
        <f t="shared" si="2"/>
        <v>0.37426666666666669</v>
      </c>
      <c r="M63" s="25">
        <f>J63+I63</f>
        <v>2245600</v>
      </c>
      <c r="N63" s="26">
        <f t="shared" si="26"/>
        <v>3754400</v>
      </c>
      <c r="O63" s="18">
        <f t="shared" si="20"/>
        <v>0.62573333333333336</v>
      </c>
      <c r="Q63" s="37"/>
    </row>
    <row r="64" spans="1:17" ht="15" x14ac:dyDescent="0.25">
      <c r="A64" s="19" t="s">
        <v>113</v>
      </c>
      <c r="B64" s="33" t="s">
        <v>114</v>
      </c>
      <c r="C64" s="32"/>
      <c r="D64" s="22"/>
      <c r="E64" s="23"/>
      <c r="F64" s="36"/>
      <c r="G64" s="63"/>
      <c r="H64" s="21">
        <f t="shared" si="25"/>
        <v>0</v>
      </c>
      <c r="I64" s="22">
        <f>ENERO!J57+FEBRERO!J57+MARZO!J57+ABRIL!J57+MAYO!J61</f>
        <v>0</v>
      </c>
      <c r="J64" s="22">
        <v>0</v>
      </c>
      <c r="K64" s="21">
        <f t="shared" si="15"/>
        <v>0</v>
      </c>
      <c r="L64" s="16">
        <v>0</v>
      </c>
      <c r="M64" s="17">
        <f t="shared" si="4"/>
        <v>0</v>
      </c>
      <c r="N64" s="26">
        <f t="shared" si="26"/>
        <v>0</v>
      </c>
      <c r="O64" s="18">
        <v>0</v>
      </c>
      <c r="Q64" s="37"/>
    </row>
    <row r="65" spans="1:17" ht="27" customHeight="1" x14ac:dyDescent="0.2">
      <c r="A65" s="180">
        <v>20201203</v>
      </c>
      <c r="B65" s="66" t="s">
        <v>123</v>
      </c>
      <c r="C65" s="73">
        <f>C66</f>
        <v>0</v>
      </c>
      <c r="D65" s="74">
        <f t="shared" ref="D65:G65" si="27">D66</f>
        <v>0</v>
      </c>
      <c r="E65" s="74">
        <f>E66+E67</f>
        <v>50000000</v>
      </c>
      <c r="F65" s="68">
        <f t="shared" si="27"/>
        <v>0</v>
      </c>
      <c r="G65" s="74">
        <f t="shared" si="27"/>
        <v>0</v>
      </c>
      <c r="H65" s="68">
        <f>SUM(H66:H67)</f>
        <v>50000000</v>
      </c>
      <c r="I65" s="68">
        <f t="shared" ref="I65:L65" si="28">I66</f>
        <v>0</v>
      </c>
      <c r="J65" s="68">
        <f t="shared" si="28"/>
        <v>0</v>
      </c>
      <c r="K65" s="68">
        <f t="shared" si="28"/>
        <v>0</v>
      </c>
      <c r="L65" s="69">
        <f t="shared" si="28"/>
        <v>0</v>
      </c>
      <c r="M65" s="70">
        <f>J65+I65</f>
        <v>0</v>
      </c>
      <c r="N65" s="75">
        <f>SUM(N66:N67)</f>
        <v>50000000</v>
      </c>
      <c r="O65" s="71">
        <f t="shared" si="20"/>
        <v>1</v>
      </c>
      <c r="Q65" s="37"/>
    </row>
    <row r="66" spans="1:17" ht="15" x14ac:dyDescent="0.25">
      <c r="A66" s="181">
        <v>2020130101</v>
      </c>
      <c r="B66" s="173" t="s">
        <v>124</v>
      </c>
      <c r="C66" s="174">
        <v>0</v>
      </c>
      <c r="D66" s="175">
        <v>0</v>
      </c>
      <c r="E66" s="176">
        <v>0</v>
      </c>
      <c r="F66" s="177"/>
      <c r="G66" s="178"/>
      <c r="H66" s="21">
        <f t="shared" si="25"/>
        <v>0</v>
      </c>
      <c r="I66" s="175">
        <v>0</v>
      </c>
      <c r="J66" s="175">
        <v>0</v>
      </c>
      <c r="K66" s="179">
        <v>0</v>
      </c>
      <c r="L66" s="16">
        <v>0</v>
      </c>
      <c r="M66" s="25">
        <f t="shared" si="4"/>
        <v>0</v>
      </c>
      <c r="N66" s="26">
        <f t="shared" si="26"/>
        <v>0</v>
      </c>
      <c r="O66" s="18">
        <v>0</v>
      </c>
      <c r="Q66" s="37"/>
    </row>
    <row r="67" spans="1:17" ht="15" x14ac:dyDescent="0.25">
      <c r="A67" s="181">
        <v>45</v>
      </c>
      <c r="B67" s="173" t="s">
        <v>124</v>
      </c>
      <c r="C67" s="174">
        <v>0</v>
      </c>
      <c r="D67" s="175">
        <v>0</v>
      </c>
      <c r="E67" s="176">
        <v>50000000</v>
      </c>
      <c r="F67" s="177">
        <v>0</v>
      </c>
      <c r="G67" s="178">
        <v>0</v>
      </c>
      <c r="H67" s="21">
        <f t="shared" si="25"/>
        <v>50000000</v>
      </c>
      <c r="I67" s="175">
        <v>0</v>
      </c>
      <c r="J67" s="175">
        <v>0</v>
      </c>
      <c r="K67" s="179">
        <v>0</v>
      </c>
      <c r="L67" s="16">
        <f t="shared" si="2"/>
        <v>0</v>
      </c>
      <c r="M67" s="25">
        <f t="shared" si="4"/>
        <v>0</v>
      </c>
      <c r="N67" s="26">
        <f t="shared" si="26"/>
        <v>50000000</v>
      </c>
      <c r="O67" s="18">
        <f t="shared" si="20"/>
        <v>1</v>
      </c>
      <c r="Q67" s="37"/>
    </row>
    <row r="68" spans="1:17" s="80" customFormat="1" ht="31.5" customHeight="1" thickBot="1" x14ac:dyDescent="0.25">
      <c r="A68" s="81"/>
      <c r="B68" s="166" t="s">
        <v>115</v>
      </c>
      <c r="C68" s="171">
        <f>C54+C49+C30+C18+C23+C8</f>
        <v>1030155044</v>
      </c>
      <c r="D68" s="167">
        <f>D9+D54</f>
        <v>0</v>
      </c>
      <c r="E68" s="167">
        <f t="shared" ref="E68:J68" si="29">E8+E18+E23+E30+E49+E54+E65</f>
        <v>131431604</v>
      </c>
      <c r="F68" s="167">
        <f t="shared" si="29"/>
        <v>56780000</v>
      </c>
      <c r="G68" s="167">
        <f t="shared" si="29"/>
        <v>56780000</v>
      </c>
      <c r="H68" s="167">
        <f t="shared" si="29"/>
        <v>1161586648</v>
      </c>
      <c r="I68" s="167">
        <f t="shared" si="29"/>
        <v>411632836.97776085</v>
      </c>
      <c r="J68" s="167">
        <f t="shared" si="29"/>
        <v>104280241</v>
      </c>
      <c r="K68" s="167">
        <f>K54+K49+K30+K23+K18+K8</f>
        <v>478584631.97776085</v>
      </c>
      <c r="L68" s="168">
        <f t="shared" si="2"/>
        <v>0.41200941212760983</v>
      </c>
      <c r="M68" s="167">
        <f>M8+M18+M23+M30+M49+M54+M65</f>
        <v>515913077.97776085</v>
      </c>
      <c r="N68" s="167">
        <f>N8+N18+N23+N30+N49+N54+N65</f>
        <v>645673570.02223921</v>
      </c>
      <c r="O68" s="170">
        <f t="shared" si="20"/>
        <v>0.55585484830937826</v>
      </c>
    </row>
    <row r="69" spans="1:17" ht="35.25" customHeight="1" thickBot="1" x14ac:dyDescent="0.3">
      <c r="A69" s="165" t="s">
        <v>118</v>
      </c>
      <c r="B69" s="192" t="s">
        <v>119</v>
      </c>
      <c r="C69" s="193"/>
      <c r="D69" s="193"/>
      <c r="E69" s="193"/>
      <c r="F69" s="193"/>
      <c r="G69" s="193"/>
      <c r="H69" s="193"/>
      <c r="I69" s="193"/>
      <c r="J69" s="193"/>
      <c r="K69" s="193"/>
      <c r="L69" s="193"/>
      <c r="M69" s="193"/>
      <c r="N69" s="193"/>
      <c r="O69" s="194"/>
      <c r="Q69" s="40"/>
    </row>
    <row r="70" spans="1:17" x14ac:dyDescent="0.2">
      <c r="K70" s="40"/>
    </row>
    <row r="71" spans="1:17" x14ac:dyDescent="0.2">
      <c r="D71" s="40"/>
      <c r="F71" s="40"/>
      <c r="G71" s="40"/>
      <c r="K71" s="40"/>
      <c r="N71" s="40"/>
    </row>
    <row r="72" spans="1:17" x14ac:dyDescent="0.2">
      <c r="G72" s="40"/>
      <c r="I72" s="40"/>
      <c r="J72" s="42"/>
      <c r="N72" s="40"/>
    </row>
    <row r="73" spans="1:17" x14ac:dyDescent="0.2">
      <c r="D73" s="40"/>
      <c r="J73" s="40"/>
      <c r="L73" s="40"/>
      <c r="N73" s="40"/>
    </row>
    <row r="74" spans="1:17" x14ac:dyDescent="0.2">
      <c r="H74" s="40"/>
      <c r="J74" s="40"/>
      <c r="N74" s="40"/>
    </row>
    <row r="75" spans="1:17" x14ac:dyDescent="0.2">
      <c r="J75" s="40"/>
    </row>
  </sheetData>
  <mergeCells count="5">
    <mergeCell ref="A1:O1"/>
    <mergeCell ref="A2:O2"/>
    <mergeCell ref="A3:O3"/>
    <mergeCell ref="L5:L6"/>
    <mergeCell ref="B69:O69"/>
  </mergeCells>
  <printOptions horizontalCentered="1" verticalCentered="1"/>
  <pageMargins left="0.23622047244094491" right="0.23622047244094491" top="0.39370078740157483" bottom="0.98425196850393704" header="0" footer="0"/>
  <pageSetup paperSize="14" scale="45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3"/>
  <sheetViews>
    <sheetView showGridLines="0" zoomScale="80" zoomScaleNormal="80" zoomScaleSheetLayoutView="80" workbookViewId="0">
      <pane xSplit="2" ySplit="7" topLeftCell="C35" activePane="bottomRight" state="frozen"/>
      <selection pane="topRight" activeCell="C1" sqref="C1"/>
      <selection pane="bottomLeft" activeCell="A8" sqref="A8"/>
      <selection pane="bottomRight" activeCell="J52" sqref="J52:J61"/>
    </sheetView>
  </sheetViews>
  <sheetFormatPr baseColWidth="10" defaultRowHeight="14.25" x14ac:dyDescent="0.2"/>
  <cols>
    <col min="1" max="1" width="16" style="1" customWidth="1"/>
    <col min="2" max="2" width="49.625" style="1" customWidth="1"/>
    <col min="3" max="3" width="21.625" style="1" customWidth="1"/>
    <col min="4" max="7" width="14.625" style="1" customWidth="1"/>
    <col min="8" max="8" width="17.875" style="1" bestFit="1" customWidth="1"/>
    <col min="9" max="9" width="20.625" style="1" bestFit="1" customWidth="1"/>
    <col min="10" max="10" width="15" style="1" bestFit="1" customWidth="1"/>
    <col min="11" max="11" width="14.625" style="1" hidden="1" customWidth="1"/>
    <col min="12" max="12" width="7.875" style="1" customWidth="1"/>
    <col min="13" max="13" width="17.375" style="41" customWidth="1"/>
    <col min="14" max="14" width="15.75" style="1" bestFit="1" customWidth="1"/>
    <col min="15" max="15" width="8.5" style="1" customWidth="1"/>
    <col min="16" max="16" width="11" style="1"/>
    <col min="17" max="17" width="10.125" style="1" bestFit="1" customWidth="1"/>
    <col min="18" max="256" width="11" style="1"/>
    <col min="257" max="257" width="16" style="1" customWidth="1"/>
    <col min="258" max="258" width="49.625" style="1" customWidth="1"/>
    <col min="259" max="259" width="15.25" style="1" customWidth="1"/>
    <col min="260" max="266" width="14.625" style="1" customWidth="1"/>
    <col min="267" max="267" width="0" style="1" hidden="1" customWidth="1"/>
    <col min="268" max="268" width="7.875" style="1" customWidth="1"/>
    <col min="269" max="269" width="17.375" style="1" customWidth="1"/>
    <col min="270" max="270" width="14.625" style="1" customWidth="1"/>
    <col min="271" max="271" width="8.5" style="1" customWidth="1"/>
    <col min="272" max="272" width="11" style="1"/>
    <col min="273" max="273" width="10.125" style="1" bestFit="1" customWidth="1"/>
    <col min="274" max="512" width="11" style="1"/>
    <col min="513" max="513" width="16" style="1" customWidth="1"/>
    <col min="514" max="514" width="49.625" style="1" customWidth="1"/>
    <col min="515" max="515" width="15.25" style="1" customWidth="1"/>
    <col min="516" max="522" width="14.625" style="1" customWidth="1"/>
    <col min="523" max="523" width="0" style="1" hidden="1" customWidth="1"/>
    <col min="524" max="524" width="7.875" style="1" customWidth="1"/>
    <col min="525" max="525" width="17.375" style="1" customWidth="1"/>
    <col min="526" max="526" width="14.625" style="1" customWidth="1"/>
    <col min="527" max="527" width="8.5" style="1" customWidth="1"/>
    <col min="528" max="528" width="11" style="1"/>
    <col min="529" max="529" width="10.125" style="1" bestFit="1" customWidth="1"/>
    <col min="530" max="768" width="11" style="1"/>
    <col min="769" max="769" width="16" style="1" customWidth="1"/>
    <col min="770" max="770" width="49.625" style="1" customWidth="1"/>
    <col min="771" max="771" width="15.25" style="1" customWidth="1"/>
    <col min="772" max="778" width="14.625" style="1" customWidth="1"/>
    <col min="779" max="779" width="0" style="1" hidden="1" customWidth="1"/>
    <col min="780" max="780" width="7.875" style="1" customWidth="1"/>
    <col min="781" max="781" width="17.375" style="1" customWidth="1"/>
    <col min="782" max="782" width="14.625" style="1" customWidth="1"/>
    <col min="783" max="783" width="8.5" style="1" customWidth="1"/>
    <col min="784" max="784" width="11" style="1"/>
    <col min="785" max="785" width="10.125" style="1" bestFit="1" customWidth="1"/>
    <col min="786" max="1024" width="11" style="1"/>
    <col min="1025" max="1025" width="16" style="1" customWidth="1"/>
    <col min="1026" max="1026" width="49.625" style="1" customWidth="1"/>
    <col min="1027" max="1027" width="15.25" style="1" customWidth="1"/>
    <col min="1028" max="1034" width="14.625" style="1" customWidth="1"/>
    <col min="1035" max="1035" width="0" style="1" hidden="1" customWidth="1"/>
    <col min="1036" max="1036" width="7.875" style="1" customWidth="1"/>
    <col min="1037" max="1037" width="17.375" style="1" customWidth="1"/>
    <col min="1038" max="1038" width="14.625" style="1" customWidth="1"/>
    <col min="1039" max="1039" width="8.5" style="1" customWidth="1"/>
    <col min="1040" max="1040" width="11" style="1"/>
    <col min="1041" max="1041" width="10.125" style="1" bestFit="1" customWidth="1"/>
    <col min="1042" max="1280" width="11" style="1"/>
    <col min="1281" max="1281" width="16" style="1" customWidth="1"/>
    <col min="1282" max="1282" width="49.625" style="1" customWidth="1"/>
    <col min="1283" max="1283" width="15.25" style="1" customWidth="1"/>
    <col min="1284" max="1290" width="14.625" style="1" customWidth="1"/>
    <col min="1291" max="1291" width="0" style="1" hidden="1" customWidth="1"/>
    <col min="1292" max="1292" width="7.875" style="1" customWidth="1"/>
    <col min="1293" max="1293" width="17.375" style="1" customWidth="1"/>
    <col min="1294" max="1294" width="14.625" style="1" customWidth="1"/>
    <col min="1295" max="1295" width="8.5" style="1" customWidth="1"/>
    <col min="1296" max="1296" width="11" style="1"/>
    <col min="1297" max="1297" width="10.125" style="1" bestFit="1" customWidth="1"/>
    <col min="1298" max="1536" width="11" style="1"/>
    <col min="1537" max="1537" width="16" style="1" customWidth="1"/>
    <col min="1538" max="1538" width="49.625" style="1" customWidth="1"/>
    <col min="1539" max="1539" width="15.25" style="1" customWidth="1"/>
    <col min="1540" max="1546" width="14.625" style="1" customWidth="1"/>
    <col min="1547" max="1547" width="0" style="1" hidden="1" customWidth="1"/>
    <col min="1548" max="1548" width="7.875" style="1" customWidth="1"/>
    <col min="1549" max="1549" width="17.375" style="1" customWidth="1"/>
    <col min="1550" max="1550" width="14.625" style="1" customWidth="1"/>
    <col min="1551" max="1551" width="8.5" style="1" customWidth="1"/>
    <col min="1552" max="1552" width="11" style="1"/>
    <col min="1553" max="1553" width="10.125" style="1" bestFit="1" customWidth="1"/>
    <col min="1554" max="1792" width="11" style="1"/>
    <col min="1793" max="1793" width="16" style="1" customWidth="1"/>
    <col min="1794" max="1794" width="49.625" style="1" customWidth="1"/>
    <col min="1795" max="1795" width="15.25" style="1" customWidth="1"/>
    <col min="1796" max="1802" width="14.625" style="1" customWidth="1"/>
    <col min="1803" max="1803" width="0" style="1" hidden="1" customWidth="1"/>
    <col min="1804" max="1804" width="7.875" style="1" customWidth="1"/>
    <col min="1805" max="1805" width="17.375" style="1" customWidth="1"/>
    <col min="1806" max="1806" width="14.625" style="1" customWidth="1"/>
    <col min="1807" max="1807" width="8.5" style="1" customWidth="1"/>
    <col min="1808" max="1808" width="11" style="1"/>
    <col min="1809" max="1809" width="10.125" style="1" bestFit="1" customWidth="1"/>
    <col min="1810" max="2048" width="11" style="1"/>
    <col min="2049" max="2049" width="16" style="1" customWidth="1"/>
    <col min="2050" max="2050" width="49.625" style="1" customWidth="1"/>
    <col min="2051" max="2051" width="15.25" style="1" customWidth="1"/>
    <col min="2052" max="2058" width="14.625" style="1" customWidth="1"/>
    <col min="2059" max="2059" width="0" style="1" hidden="1" customWidth="1"/>
    <col min="2060" max="2060" width="7.875" style="1" customWidth="1"/>
    <col min="2061" max="2061" width="17.375" style="1" customWidth="1"/>
    <col min="2062" max="2062" width="14.625" style="1" customWidth="1"/>
    <col min="2063" max="2063" width="8.5" style="1" customWidth="1"/>
    <col min="2064" max="2064" width="11" style="1"/>
    <col min="2065" max="2065" width="10.125" style="1" bestFit="1" customWidth="1"/>
    <col min="2066" max="2304" width="11" style="1"/>
    <col min="2305" max="2305" width="16" style="1" customWidth="1"/>
    <col min="2306" max="2306" width="49.625" style="1" customWidth="1"/>
    <col min="2307" max="2307" width="15.25" style="1" customWidth="1"/>
    <col min="2308" max="2314" width="14.625" style="1" customWidth="1"/>
    <col min="2315" max="2315" width="0" style="1" hidden="1" customWidth="1"/>
    <col min="2316" max="2316" width="7.875" style="1" customWidth="1"/>
    <col min="2317" max="2317" width="17.375" style="1" customWidth="1"/>
    <col min="2318" max="2318" width="14.625" style="1" customWidth="1"/>
    <col min="2319" max="2319" width="8.5" style="1" customWidth="1"/>
    <col min="2320" max="2320" width="11" style="1"/>
    <col min="2321" max="2321" width="10.125" style="1" bestFit="1" customWidth="1"/>
    <col min="2322" max="2560" width="11" style="1"/>
    <col min="2561" max="2561" width="16" style="1" customWidth="1"/>
    <col min="2562" max="2562" width="49.625" style="1" customWidth="1"/>
    <col min="2563" max="2563" width="15.25" style="1" customWidth="1"/>
    <col min="2564" max="2570" width="14.625" style="1" customWidth="1"/>
    <col min="2571" max="2571" width="0" style="1" hidden="1" customWidth="1"/>
    <col min="2572" max="2572" width="7.875" style="1" customWidth="1"/>
    <col min="2573" max="2573" width="17.375" style="1" customWidth="1"/>
    <col min="2574" max="2574" width="14.625" style="1" customWidth="1"/>
    <col min="2575" max="2575" width="8.5" style="1" customWidth="1"/>
    <col min="2576" max="2576" width="11" style="1"/>
    <col min="2577" max="2577" width="10.125" style="1" bestFit="1" customWidth="1"/>
    <col min="2578" max="2816" width="11" style="1"/>
    <col min="2817" max="2817" width="16" style="1" customWidth="1"/>
    <col min="2818" max="2818" width="49.625" style="1" customWidth="1"/>
    <col min="2819" max="2819" width="15.25" style="1" customWidth="1"/>
    <col min="2820" max="2826" width="14.625" style="1" customWidth="1"/>
    <col min="2827" max="2827" width="0" style="1" hidden="1" customWidth="1"/>
    <col min="2828" max="2828" width="7.875" style="1" customWidth="1"/>
    <col min="2829" max="2829" width="17.375" style="1" customWidth="1"/>
    <col min="2830" max="2830" width="14.625" style="1" customWidth="1"/>
    <col min="2831" max="2831" width="8.5" style="1" customWidth="1"/>
    <col min="2832" max="2832" width="11" style="1"/>
    <col min="2833" max="2833" width="10.125" style="1" bestFit="1" customWidth="1"/>
    <col min="2834" max="3072" width="11" style="1"/>
    <col min="3073" max="3073" width="16" style="1" customWidth="1"/>
    <col min="3074" max="3074" width="49.625" style="1" customWidth="1"/>
    <col min="3075" max="3075" width="15.25" style="1" customWidth="1"/>
    <col min="3076" max="3082" width="14.625" style="1" customWidth="1"/>
    <col min="3083" max="3083" width="0" style="1" hidden="1" customWidth="1"/>
    <col min="3084" max="3084" width="7.875" style="1" customWidth="1"/>
    <col min="3085" max="3085" width="17.375" style="1" customWidth="1"/>
    <col min="3086" max="3086" width="14.625" style="1" customWidth="1"/>
    <col min="3087" max="3087" width="8.5" style="1" customWidth="1"/>
    <col min="3088" max="3088" width="11" style="1"/>
    <col min="3089" max="3089" width="10.125" style="1" bestFit="1" customWidth="1"/>
    <col min="3090" max="3328" width="11" style="1"/>
    <col min="3329" max="3329" width="16" style="1" customWidth="1"/>
    <col min="3330" max="3330" width="49.625" style="1" customWidth="1"/>
    <col min="3331" max="3331" width="15.25" style="1" customWidth="1"/>
    <col min="3332" max="3338" width="14.625" style="1" customWidth="1"/>
    <col min="3339" max="3339" width="0" style="1" hidden="1" customWidth="1"/>
    <col min="3340" max="3340" width="7.875" style="1" customWidth="1"/>
    <col min="3341" max="3341" width="17.375" style="1" customWidth="1"/>
    <col min="3342" max="3342" width="14.625" style="1" customWidth="1"/>
    <col min="3343" max="3343" width="8.5" style="1" customWidth="1"/>
    <col min="3344" max="3344" width="11" style="1"/>
    <col min="3345" max="3345" width="10.125" style="1" bestFit="1" customWidth="1"/>
    <col min="3346" max="3584" width="11" style="1"/>
    <col min="3585" max="3585" width="16" style="1" customWidth="1"/>
    <col min="3586" max="3586" width="49.625" style="1" customWidth="1"/>
    <col min="3587" max="3587" width="15.25" style="1" customWidth="1"/>
    <col min="3588" max="3594" width="14.625" style="1" customWidth="1"/>
    <col min="3595" max="3595" width="0" style="1" hidden="1" customWidth="1"/>
    <col min="3596" max="3596" width="7.875" style="1" customWidth="1"/>
    <col min="3597" max="3597" width="17.375" style="1" customWidth="1"/>
    <col min="3598" max="3598" width="14.625" style="1" customWidth="1"/>
    <col min="3599" max="3599" width="8.5" style="1" customWidth="1"/>
    <col min="3600" max="3600" width="11" style="1"/>
    <col min="3601" max="3601" width="10.125" style="1" bestFit="1" customWidth="1"/>
    <col min="3602" max="3840" width="11" style="1"/>
    <col min="3841" max="3841" width="16" style="1" customWidth="1"/>
    <col min="3842" max="3842" width="49.625" style="1" customWidth="1"/>
    <col min="3843" max="3843" width="15.25" style="1" customWidth="1"/>
    <col min="3844" max="3850" width="14.625" style="1" customWidth="1"/>
    <col min="3851" max="3851" width="0" style="1" hidden="1" customWidth="1"/>
    <col min="3852" max="3852" width="7.875" style="1" customWidth="1"/>
    <col min="3853" max="3853" width="17.375" style="1" customWidth="1"/>
    <col min="3854" max="3854" width="14.625" style="1" customWidth="1"/>
    <col min="3855" max="3855" width="8.5" style="1" customWidth="1"/>
    <col min="3856" max="3856" width="11" style="1"/>
    <col min="3857" max="3857" width="10.125" style="1" bestFit="1" customWidth="1"/>
    <col min="3858" max="4096" width="11" style="1"/>
    <col min="4097" max="4097" width="16" style="1" customWidth="1"/>
    <col min="4098" max="4098" width="49.625" style="1" customWidth="1"/>
    <col min="4099" max="4099" width="15.25" style="1" customWidth="1"/>
    <col min="4100" max="4106" width="14.625" style="1" customWidth="1"/>
    <col min="4107" max="4107" width="0" style="1" hidden="1" customWidth="1"/>
    <col min="4108" max="4108" width="7.875" style="1" customWidth="1"/>
    <col min="4109" max="4109" width="17.375" style="1" customWidth="1"/>
    <col min="4110" max="4110" width="14.625" style="1" customWidth="1"/>
    <col min="4111" max="4111" width="8.5" style="1" customWidth="1"/>
    <col min="4112" max="4112" width="11" style="1"/>
    <col min="4113" max="4113" width="10.125" style="1" bestFit="1" customWidth="1"/>
    <col min="4114" max="4352" width="11" style="1"/>
    <col min="4353" max="4353" width="16" style="1" customWidth="1"/>
    <col min="4354" max="4354" width="49.625" style="1" customWidth="1"/>
    <col min="4355" max="4355" width="15.25" style="1" customWidth="1"/>
    <col min="4356" max="4362" width="14.625" style="1" customWidth="1"/>
    <col min="4363" max="4363" width="0" style="1" hidden="1" customWidth="1"/>
    <col min="4364" max="4364" width="7.875" style="1" customWidth="1"/>
    <col min="4365" max="4365" width="17.375" style="1" customWidth="1"/>
    <col min="4366" max="4366" width="14.625" style="1" customWidth="1"/>
    <col min="4367" max="4367" width="8.5" style="1" customWidth="1"/>
    <col min="4368" max="4368" width="11" style="1"/>
    <col min="4369" max="4369" width="10.125" style="1" bestFit="1" customWidth="1"/>
    <col min="4370" max="4608" width="11" style="1"/>
    <col min="4609" max="4609" width="16" style="1" customWidth="1"/>
    <col min="4610" max="4610" width="49.625" style="1" customWidth="1"/>
    <col min="4611" max="4611" width="15.25" style="1" customWidth="1"/>
    <col min="4612" max="4618" width="14.625" style="1" customWidth="1"/>
    <col min="4619" max="4619" width="0" style="1" hidden="1" customWidth="1"/>
    <col min="4620" max="4620" width="7.875" style="1" customWidth="1"/>
    <col min="4621" max="4621" width="17.375" style="1" customWidth="1"/>
    <col min="4622" max="4622" width="14.625" style="1" customWidth="1"/>
    <col min="4623" max="4623" width="8.5" style="1" customWidth="1"/>
    <col min="4624" max="4624" width="11" style="1"/>
    <col min="4625" max="4625" width="10.125" style="1" bestFit="1" customWidth="1"/>
    <col min="4626" max="4864" width="11" style="1"/>
    <col min="4865" max="4865" width="16" style="1" customWidth="1"/>
    <col min="4866" max="4866" width="49.625" style="1" customWidth="1"/>
    <col min="4867" max="4867" width="15.25" style="1" customWidth="1"/>
    <col min="4868" max="4874" width="14.625" style="1" customWidth="1"/>
    <col min="4875" max="4875" width="0" style="1" hidden="1" customWidth="1"/>
    <col min="4876" max="4876" width="7.875" style="1" customWidth="1"/>
    <col min="4877" max="4877" width="17.375" style="1" customWidth="1"/>
    <col min="4878" max="4878" width="14.625" style="1" customWidth="1"/>
    <col min="4879" max="4879" width="8.5" style="1" customWidth="1"/>
    <col min="4880" max="4880" width="11" style="1"/>
    <col min="4881" max="4881" width="10.125" style="1" bestFit="1" customWidth="1"/>
    <col min="4882" max="5120" width="11" style="1"/>
    <col min="5121" max="5121" width="16" style="1" customWidth="1"/>
    <col min="5122" max="5122" width="49.625" style="1" customWidth="1"/>
    <col min="5123" max="5123" width="15.25" style="1" customWidth="1"/>
    <col min="5124" max="5130" width="14.625" style="1" customWidth="1"/>
    <col min="5131" max="5131" width="0" style="1" hidden="1" customWidth="1"/>
    <col min="5132" max="5132" width="7.875" style="1" customWidth="1"/>
    <col min="5133" max="5133" width="17.375" style="1" customWidth="1"/>
    <col min="5134" max="5134" width="14.625" style="1" customWidth="1"/>
    <col min="5135" max="5135" width="8.5" style="1" customWidth="1"/>
    <col min="5136" max="5136" width="11" style="1"/>
    <col min="5137" max="5137" width="10.125" style="1" bestFit="1" customWidth="1"/>
    <col min="5138" max="5376" width="11" style="1"/>
    <col min="5377" max="5377" width="16" style="1" customWidth="1"/>
    <col min="5378" max="5378" width="49.625" style="1" customWidth="1"/>
    <col min="5379" max="5379" width="15.25" style="1" customWidth="1"/>
    <col min="5380" max="5386" width="14.625" style="1" customWidth="1"/>
    <col min="5387" max="5387" width="0" style="1" hidden="1" customWidth="1"/>
    <col min="5388" max="5388" width="7.875" style="1" customWidth="1"/>
    <col min="5389" max="5389" width="17.375" style="1" customWidth="1"/>
    <col min="5390" max="5390" width="14.625" style="1" customWidth="1"/>
    <col min="5391" max="5391" width="8.5" style="1" customWidth="1"/>
    <col min="5392" max="5392" width="11" style="1"/>
    <col min="5393" max="5393" width="10.125" style="1" bestFit="1" customWidth="1"/>
    <col min="5394" max="5632" width="11" style="1"/>
    <col min="5633" max="5633" width="16" style="1" customWidth="1"/>
    <col min="5634" max="5634" width="49.625" style="1" customWidth="1"/>
    <col min="5635" max="5635" width="15.25" style="1" customWidth="1"/>
    <col min="5636" max="5642" width="14.625" style="1" customWidth="1"/>
    <col min="5643" max="5643" width="0" style="1" hidden="1" customWidth="1"/>
    <col min="5644" max="5644" width="7.875" style="1" customWidth="1"/>
    <col min="5645" max="5645" width="17.375" style="1" customWidth="1"/>
    <col min="5646" max="5646" width="14.625" style="1" customWidth="1"/>
    <col min="5647" max="5647" width="8.5" style="1" customWidth="1"/>
    <col min="5648" max="5648" width="11" style="1"/>
    <col min="5649" max="5649" width="10.125" style="1" bestFit="1" customWidth="1"/>
    <col min="5650" max="5888" width="11" style="1"/>
    <col min="5889" max="5889" width="16" style="1" customWidth="1"/>
    <col min="5890" max="5890" width="49.625" style="1" customWidth="1"/>
    <col min="5891" max="5891" width="15.25" style="1" customWidth="1"/>
    <col min="5892" max="5898" width="14.625" style="1" customWidth="1"/>
    <col min="5899" max="5899" width="0" style="1" hidden="1" customWidth="1"/>
    <col min="5900" max="5900" width="7.875" style="1" customWidth="1"/>
    <col min="5901" max="5901" width="17.375" style="1" customWidth="1"/>
    <col min="5902" max="5902" width="14.625" style="1" customWidth="1"/>
    <col min="5903" max="5903" width="8.5" style="1" customWidth="1"/>
    <col min="5904" max="5904" width="11" style="1"/>
    <col min="5905" max="5905" width="10.125" style="1" bestFit="1" customWidth="1"/>
    <col min="5906" max="6144" width="11" style="1"/>
    <col min="6145" max="6145" width="16" style="1" customWidth="1"/>
    <col min="6146" max="6146" width="49.625" style="1" customWidth="1"/>
    <col min="6147" max="6147" width="15.25" style="1" customWidth="1"/>
    <col min="6148" max="6154" width="14.625" style="1" customWidth="1"/>
    <col min="6155" max="6155" width="0" style="1" hidden="1" customWidth="1"/>
    <col min="6156" max="6156" width="7.875" style="1" customWidth="1"/>
    <col min="6157" max="6157" width="17.375" style="1" customWidth="1"/>
    <col min="6158" max="6158" width="14.625" style="1" customWidth="1"/>
    <col min="6159" max="6159" width="8.5" style="1" customWidth="1"/>
    <col min="6160" max="6160" width="11" style="1"/>
    <col min="6161" max="6161" width="10.125" style="1" bestFit="1" customWidth="1"/>
    <col min="6162" max="6400" width="11" style="1"/>
    <col min="6401" max="6401" width="16" style="1" customWidth="1"/>
    <col min="6402" max="6402" width="49.625" style="1" customWidth="1"/>
    <col min="6403" max="6403" width="15.25" style="1" customWidth="1"/>
    <col min="6404" max="6410" width="14.625" style="1" customWidth="1"/>
    <col min="6411" max="6411" width="0" style="1" hidden="1" customWidth="1"/>
    <col min="6412" max="6412" width="7.875" style="1" customWidth="1"/>
    <col min="6413" max="6413" width="17.375" style="1" customWidth="1"/>
    <col min="6414" max="6414" width="14.625" style="1" customWidth="1"/>
    <col min="6415" max="6415" width="8.5" style="1" customWidth="1"/>
    <col min="6416" max="6416" width="11" style="1"/>
    <col min="6417" max="6417" width="10.125" style="1" bestFit="1" customWidth="1"/>
    <col min="6418" max="6656" width="11" style="1"/>
    <col min="6657" max="6657" width="16" style="1" customWidth="1"/>
    <col min="6658" max="6658" width="49.625" style="1" customWidth="1"/>
    <col min="6659" max="6659" width="15.25" style="1" customWidth="1"/>
    <col min="6660" max="6666" width="14.625" style="1" customWidth="1"/>
    <col min="6667" max="6667" width="0" style="1" hidden="1" customWidth="1"/>
    <col min="6668" max="6668" width="7.875" style="1" customWidth="1"/>
    <col min="6669" max="6669" width="17.375" style="1" customWidth="1"/>
    <col min="6670" max="6670" width="14.625" style="1" customWidth="1"/>
    <col min="6671" max="6671" width="8.5" style="1" customWidth="1"/>
    <col min="6672" max="6672" width="11" style="1"/>
    <col min="6673" max="6673" width="10.125" style="1" bestFit="1" customWidth="1"/>
    <col min="6674" max="6912" width="11" style="1"/>
    <col min="6913" max="6913" width="16" style="1" customWidth="1"/>
    <col min="6914" max="6914" width="49.625" style="1" customWidth="1"/>
    <col min="6915" max="6915" width="15.25" style="1" customWidth="1"/>
    <col min="6916" max="6922" width="14.625" style="1" customWidth="1"/>
    <col min="6923" max="6923" width="0" style="1" hidden="1" customWidth="1"/>
    <col min="6924" max="6924" width="7.875" style="1" customWidth="1"/>
    <col min="6925" max="6925" width="17.375" style="1" customWidth="1"/>
    <col min="6926" max="6926" width="14.625" style="1" customWidth="1"/>
    <col min="6927" max="6927" width="8.5" style="1" customWidth="1"/>
    <col min="6928" max="6928" width="11" style="1"/>
    <col min="6929" max="6929" width="10.125" style="1" bestFit="1" customWidth="1"/>
    <col min="6930" max="7168" width="11" style="1"/>
    <col min="7169" max="7169" width="16" style="1" customWidth="1"/>
    <col min="7170" max="7170" width="49.625" style="1" customWidth="1"/>
    <col min="7171" max="7171" width="15.25" style="1" customWidth="1"/>
    <col min="7172" max="7178" width="14.625" style="1" customWidth="1"/>
    <col min="7179" max="7179" width="0" style="1" hidden="1" customWidth="1"/>
    <col min="7180" max="7180" width="7.875" style="1" customWidth="1"/>
    <col min="7181" max="7181" width="17.375" style="1" customWidth="1"/>
    <col min="7182" max="7182" width="14.625" style="1" customWidth="1"/>
    <col min="7183" max="7183" width="8.5" style="1" customWidth="1"/>
    <col min="7184" max="7184" width="11" style="1"/>
    <col min="7185" max="7185" width="10.125" style="1" bestFit="1" customWidth="1"/>
    <col min="7186" max="7424" width="11" style="1"/>
    <col min="7425" max="7425" width="16" style="1" customWidth="1"/>
    <col min="7426" max="7426" width="49.625" style="1" customWidth="1"/>
    <col min="7427" max="7427" width="15.25" style="1" customWidth="1"/>
    <col min="7428" max="7434" width="14.625" style="1" customWidth="1"/>
    <col min="7435" max="7435" width="0" style="1" hidden="1" customWidth="1"/>
    <col min="7436" max="7436" width="7.875" style="1" customWidth="1"/>
    <col min="7437" max="7437" width="17.375" style="1" customWidth="1"/>
    <col min="7438" max="7438" width="14.625" style="1" customWidth="1"/>
    <col min="7439" max="7439" width="8.5" style="1" customWidth="1"/>
    <col min="7440" max="7440" width="11" style="1"/>
    <col min="7441" max="7441" width="10.125" style="1" bestFit="1" customWidth="1"/>
    <col min="7442" max="7680" width="11" style="1"/>
    <col min="7681" max="7681" width="16" style="1" customWidth="1"/>
    <col min="7682" max="7682" width="49.625" style="1" customWidth="1"/>
    <col min="7683" max="7683" width="15.25" style="1" customWidth="1"/>
    <col min="7684" max="7690" width="14.625" style="1" customWidth="1"/>
    <col min="7691" max="7691" width="0" style="1" hidden="1" customWidth="1"/>
    <col min="7692" max="7692" width="7.875" style="1" customWidth="1"/>
    <col min="7693" max="7693" width="17.375" style="1" customWidth="1"/>
    <col min="7694" max="7694" width="14.625" style="1" customWidth="1"/>
    <col min="7695" max="7695" width="8.5" style="1" customWidth="1"/>
    <col min="7696" max="7696" width="11" style="1"/>
    <col min="7697" max="7697" width="10.125" style="1" bestFit="1" customWidth="1"/>
    <col min="7698" max="7936" width="11" style="1"/>
    <col min="7937" max="7937" width="16" style="1" customWidth="1"/>
    <col min="7938" max="7938" width="49.625" style="1" customWidth="1"/>
    <col min="7939" max="7939" width="15.25" style="1" customWidth="1"/>
    <col min="7940" max="7946" width="14.625" style="1" customWidth="1"/>
    <col min="7947" max="7947" width="0" style="1" hidden="1" customWidth="1"/>
    <col min="7948" max="7948" width="7.875" style="1" customWidth="1"/>
    <col min="7949" max="7949" width="17.375" style="1" customWidth="1"/>
    <col min="7950" max="7950" width="14.625" style="1" customWidth="1"/>
    <col min="7951" max="7951" width="8.5" style="1" customWidth="1"/>
    <col min="7952" max="7952" width="11" style="1"/>
    <col min="7953" max="7953" width="10.125" style="1" bestFit="1" customWidth="1"/>
    <col min="7954" max="8192" width="11" style="1"/>
    <col min="8193" max="8193" width="16" style="1" customWidth="1"/>
    <col min="8194" max="8194" width="49.625" style="1" customWidth="1"/>
    <col min="8195" max="8195" width="15.25" style="1" customWidth="1"/>
    <col min="8196" max="8202" width="14.625" style="1" customWidth="1"/>
    <col min="8203" max="8203" width="0" style="1" hidden="1" customWidth="1"/>
    <col min="8204" max="8204" width="7.875" style="1" customWidth="1"/>
    <col min="8205" max="8205" width="17.375" style="1" customWidth="1"/>
    <col min="8206" max="8206" width="14.625" style="1" customWidth="1"/>
    <col min="8207" max="8207" width="8.5" style="1" customWidth="1"/>
    <col min="8208" max="8208" width="11" style="1"/>
    <col min="8209" max="8209" width="10.125" style="1" bestFit="1" customWidth="1"/>
    <col min="8210" max="8448" width="11" style="1"/>
    <col min="8449" max="8449" width="16" style="1" customWidth="1"/>
    <col min="8450" max="8450" width="49.625" style="1" customWidth="1"/>
    <col min="8451" max="8451" width="15.25" style="1" customWidth="1"/>
    <col min="8452" max="8458" width="14.625" style="1" customWidth="1"/>
    <col min="8459" max="8459" width="0" style="1" hidden="1" customWidth="1"/>
    <col min="8460" max="8460" width="7.875" style="1" customWidth="1"/>
    <col min="8461" max="8461" width="17.375" style="1" customWidth="1"/>
    <col min="8462" max="8462" width="14.625" style="1" customWidth="1"/>
    <col min="8463" max="8463" width="8.5" style="1" customWidth="1"/>
    <col min="8464" max="8464" width="11" style="1"/>
    <col min="8465" max="8465" width="10.125" style="1" bestFit="1" customWidth="1"/>
    <col min="8466" max="8704" width="11" style="1"/>
    <col min="8705" max="8705" width="16" style="1" customWidth="1"/>
    <col min="8706" max="8706" width="49.625" style="1" customWidth="1"/>
    <col min="8707" max="8707" width="15.25" style="1" customWidth="1"/>
    <col min="8708" max="8714" width="14.625" style="1" customWidth="1"/>
    <col min="8715" max="8715" width="0" style="1" hidden="1" customWidth="1"/>
    <col min="8716" max="8716" width="7.875" style="1" customWidth="1"/>
    <col min="8717" max="8717" width="17.375" style="1" customWidth="1"/>
    <col min="8718" max="8718" width="14.625" style="1" customWidth="1"/>
    <col min="8719" max="8719" width="8.5" style="1" customWidth="1"/>
    <col min="8720" max="8720" width="11" style="1"/>
    <col min="8721" max="8721" width="10.125" style="1" bestFit="1" customWidth="1"/>
    <col min="8722" max="8960" width="11" style="1"/>
    <col min="8961" max="8961" width="16" style="1" customWidth="1"/>
    <col min="8962" max="8962" width="49.625" style="1" customWidth="1"/>
    <col min="8963" max="8963" width="15.25" style="1" customWidth="1"/>
    <col min="8964" max="8970" width="14.625" style="1" customWidth="1"/>
    <col min="8971" max="8971" width="0" style="1" hidden="1" customWidth="1"/>
    <col min="8972" max="8972" width="7.875" style="1" customWidth="1"/>
    <col min="8973" max="8973" width="17.375" style="1" customWidth="1"/>
    <col min="8974" max="8974" width="14.625" style="1" customWidth="1"/>
    <col min="8975" max="8975" width="8.5" style="1" customWidth="1"/>
    <col min="8976" max="8976" width="11" style="1"/>
    <col min="8977" max="8977" width="10.125" style="1" bestFit="1" customWidth="1"/>
    <col min="8978" max="9216" width="11" style="1"/>
    <col min="9217" max="9217" width="16" style="1" customWidth="1"/>
    <col min="9218" max="9218" width="49.625" style="1" customWidth="1"/>
    <col min="9219" max="9219" width="15.25" style="1" customWidth="1"/>
    <col min="9220" max="9226" width="14.625" style="1" customWidth="1"/>
    <col min="9227" max="9227" width="0" style="1" hidden="1" customWidth="1"/>
    <col min="9228" max="9228" width="7.875" style="1" customWidth="1"/>
    <col min="9229" max="9229" width="17.375" style="1" customWidth="1"/>
    <col min="9230" max="9230" width="14.625" style="1" customWidth="1"/>
    <col min="9231" max="9231" width="8.5" style="1" customWidth="1"/>
    <col min="9232" max="9232" width="11" style="1"/>
    <col min="9233" max="9233" width="10.125" style="1" bestFit="1" customWidth="1"/>
    <col min="9234" max="9472" width="11" style="1"/>
    <col min="9473" max="9473" width="16" style="1" customWidth="1"/>
    <col min="9474" max="9474" width="49.625" style="1" customWidth="1"/>
    <col min="9475" max="9475" width="15.25" style="1" customWidth="1"/>
    <col min="9476" max="9482" width="14.625" style="1" customWidth="1"/>
    <col min="9483" max="9483" width="0" style="1" hidden="1" customWidth="1"/>
    <col min="9484" max="9484" width="7.875" style="1" customWidth="1"/>
    <col min="9485" max="9485" width="17.375" style="1" customWidth="1"/>
    <col min="9486" max="9486" width="14.625" style="1" customWidth="1"/>
    <col min="9487" max="9487" width="8.5" style="1" customWidth="1"/>
    <col min="9488" max="9488" width="11" style="1"/>
    <col min="9489" max="9489" width="10.125" style="1" bestFit="1" customWidth="1"/>
    <col min="9490" max="9728" width="11" style="1"/>
    <col min="9729" max="9729" width="16" style="1" customWidth="1"/>
    <col min="9730" max="9730" width="49.625" style="1" customWidth="1"/>
    <col min="9731" max="9731" width="15.25" style="1" customWidth="1"/>
    <col min="9732" max="9738" width="14.625" style="1" customWidth="1"/>
    <col min="9739" max="9739" width="0" style="1" hidden="1" customWidth="1"/>
    <col min="9740" max="9740" width="7.875" style="1" customWidth="1"/>
    <col min="9741" max="9741" width="17.375" style="1" customWidth="1"/>
    <col min="9742" max="9742" width="14.625" style="1" customWidth="1"/>
    <col min="9743" max="9743" width="8.5" style="1" customWidth="1"/>
    <col min="9744" max="9744" width="11" style="1"/>
    <col min="9745" max="9745" width="10.125" style="1" bestFit="1" customWidth="1"/>
    <col min="9746" max="9984" width="11" style="1"/>
    <col min="9985" max="9985" width="16" style="1" customWidth="1"/>
    <col min="9986" max="9986" width="49.625" style="1" customWidth="1"/>
    <col min="9987" max="9987" width="15.25" style="1" customWidth="1"/>
    <col min="9988" max="9994" width="14.625" style="1" customWidth="1"/>
    <col min="9995" max="9995" width="0" style="1" hidden="1" customWidth="1"/>
    <col min="9996" max="9996" width="7.875" style="1" customWidth="1"/>
    <col min="9997" max="9997" width="17.375" style="1" customWidth="1"/>
    <col min="9998" max="9998" width="14.625" style="1" customWidth="1"/>
    <col min="9999" max="9999" width="8.5" style="1" customWidth="1"/>
    <col min="10000" max="10000" width="11" style="1"/>
    <col min="10001" max="10001" width="10.125" style="1" bestFit="1" customWidth="1"/>
    <col min="10002" max="10240" width="11" style="1"/>
    <col min="10241" max="10241" width="16" style="1" customWidth="1"/>
    <col min="10242" max="10242" width="49.625" style="1" customWidth="1"/>
    <col min="10243" max="10243" width="15.25" style="1" customWidth="1"/>
    <col min="10244" max="10250" width="14.625" style="1" customWidth="1"/>
    <col min="10251" max="10251" width="0" style="1" hidden="1" customWidth="1"/>
    <col min="10252" max="10252" width="7.875" style="1" customWidth="1"/>
    <col min="10253" max="10253" width="17.375" style="1" customWidth="1"/>
    <col min="10254" max="10254" width="14.625" style="1" customWidth="1"/>
    <col min="10255" max="10255" width="8.5" style="1" customWidth="1"/>
    <col min="10256" max="10256" width="11" style="1"/>
    <col min="10257" max="10257" width="10.125" style="1" bestFit="1" customWidth="1"/>
    <col min="10258" max="10496" width="11" style="1"/>
    <col min="10497" max="10497" width="16" style="1" customWidth="1"/>
    <col min="10498" max="10498" width="49.625" style="1" customWidth="1"/>
    <col min="10499" max="10499" width="15.25" style="1" customWidth="1"/>
    <col min="10500" max="10506" width="14.625" style="1" customWidth="1"/>
    <col min="10507" max="10507" width="0" style="1" hidden="1" customWidth="1"/>
    <col min="10508" max="10508" width="7.875" style="1" customWidth="1"/>
    <col min="10509" max="10509" width="17.375" style="1" customWidth="1"/>
    <col min="10510" max="10510" width="14.625" style="1" customWidth="1"/>
    <col min="10511" max="10511" width="8.5" style="1" customWidth="1"/>
    <col min="10512" max="10512" width="11" style="1"/>
    <col min="10513" max="10513" width="10.125" style="1" bestFit="1" customWidth="1"/>
    <col min="10514" max="10752" width="11" style="1"/>
    <col min="10753" max="10753" width="16" style="1" customWidth="1"/>
    <col min="10754" max="10754" width="49.625" style="1" customWidth="1"/>
    <col min="10755" max="10755" width="15.25" style="1" customWidth="1"/>
    <col min="10756" max="10762" width="14.625" style="1" customWidth="1"/>
    <col min="10763" max="10763" width="0" style="1" hidden="1" customWidth="1"/>
    <col min="10764" max="10764" width="7.875" style="1" customWidth="1"/>
    <col min="10765" max="10765" width="17.375" style="1" customWidth="1"/>
    <col min="10766" max="10766" width="14.625" style="1" customWidth="1"/>
    <col min="10767" max="10767" width="8.5" style="1" customWidth="1"/>
    <col min="10768" max="10768" width="11" style="1"/>
    <col min="10769" max="10769" width="10.125" style="1" bestFit="1" customWidth="1"/>
    <col min="10770" max="11008" width="11" style="1"/>
    <col min="11009" max="11009" width="16" style="1" customWidth="1"/>
    <col min="11010" max="11010" width="49.625" style="1" customWidth="1"/>
    <col min="11011" max="11011" width="15.25" style="1" customWidth="1"/>
    <col min="11012" max="11018" width="14.625" style="1" customWidth="1"/>
    <col min="11019" max="11019" width="0" style="1" hidden="1" customWidth="1"/>
    <col min="11020" max="11020" width="7.875" style="1" customWidth="1"/>
    <col min="11021" max="11021" width="17.375" style="1" customWidth="1"/>
    <col min="11022" max="11022" width="14.625" style="1" customWidth="1"/>
    <col min="11023" max="11023" width="8.5" style="1" customWidth="1"/>
    <col min="11024" max="11024" width="11" style="1"/>
    <col min="11025" max="11025" width="10.125" style="1" bestFit="1" customWidth="1"/>
    <col min="11026" max="11264" width="11" style="1"/>
    <col min="11265" max="11265" width="16" style="1" customWidth="1"/>
    <col min="11266" max="11266" width="49.625" style="1" customWidth="1"/>
    <col min="11267" max="11267" width="15.25" style="1" customWidth="1"/>
    <col min="11268" max="11274" width="14.625" style="1" customWidth="1"/>
    <col min="11275" max="11275" width="0" style="1" hidden="1" customWidth="1"/>
    <col min="11276" max="11276" width="7.875" style="1" customWidth="1"/>
    <col min="11277" max="11277" width="17.375" style="1" customWidth="1"/>
    <col min="11278" max="11278" width="14.625" style="1" customWidth="1"/>
    <col min="11279" max="11279" width="8.5" style="1" customWidth="1"/>
    <col min="11280" max="11280" width="11" style="1"/>
    <col min="11281" max="11281" width="10.125" style="1" bestFit="1" customWidth="1"/>
    <col min="11282" max="11520" width="11" style="1"/>
    <col min="11521" max="11521" width="16" style="1" customWidth="1"/>
    <col min="11522" max="11522" width="49.625" style="1" customWidth="1"/>
    <col min="11523" max="11523" width="15.25" style="1" customWidth="1"/>
    <col min="11524" max="11530" width="14.625" style="1" customWidth="1"/>
    <col min="11531" max="11531" width="0" style="1" hidden="1" customWidth="1"/>
    <col min="11532" max="11532" width="7.875" style="1" customWidth="1"/>
    <col min="11533" max="11533" width="17.375" style="1" customWidth="1"/>
    <col min="11534" max="11534" width="14.625" style="1" customWidth="1"/>
    <col min="11535" max="11535" width="8.5" style="1" customWidth="1"/>
    <col min="11536" max="11536" width="11" style="1"/>
    <col min="11537" max="11537" width="10.125" style="1" bestFit="1" customWidth="1"/>
    <col min="11538" max="11776" width="11" style="1"/>
    <col min="11777" max="11777" width="16" style="1" customWidth="1"/>
    <col min="11778" max="11778" width="49.625" style="1" customWidth="1"/>
    <col min="11779" max="11779" width="15.25" style="1" customWidth="1"/>
    <col min="11780" max="11786" width="14.625" style="1" customWidth="1"/>
    <col min="11787" max="11787" width="0" style="1" hidden="1" customWidth="1"/>
    <col min="11788" max="11788" width="7.875" style="1" customWidth="1"/>
    <col min="11789" max="11789" width="17.375" style="1" customWidth="1"/>
    <col min="11790" max="11790" width="14.625" style="1" customWidth="1"/>
    <col min="11791" max="11791" width="8.5" style="1" customWidth="1"/>
    <col min="11792" max="11792" width="11" style="1"/>
    <col min="11793" max="11793" width="10.125" style="1" bestFit="1" customWidth="1"/>
    <col min="11794" max="12032" width="11" style="1"/>
    <col min="12033" max="12033" width="16" style="1" customWidth="1"/>
    <col min="12034" max="12034" width="49.625" style="1" customWidth="1"/>
    <col min="12035" max="12035" width="15.25" style="1" customWidth="1"/>
    <col min="12036" max="12042" width="14.625" style="1" customWidth="1"/>
    <col min="12043" max="12043" width="0" style="1" hidden="1" customWidth="1"/>
    <col min="12044" max="12044" width="7.875" style="1" customWidth="1"/>
    <col min="12045" max="12045" width="17.375" style="1" customWidth="1"/>
    <col min="12046" max="12046" width="14.625" style="1" customWidth="1"/>
    <col min="12047" max="12047" width="8.5" style="1" customWidth="1"/>
    <col min="12048" max="12048" width="11" style="1"/>
    <col min="12049" max="12049" width="10.125" style="1" bestFit="1" customWidth="1"/>
    <col min="12050" max="12288" width="11" style="1"/>
    <col min="12289" max="12289" width="16" style="1" customWidth="1"/>
    <col min="12290" max="12290" width="49.625" style="1" customWidth="1"/>
    <col min="12291" max="12291" width="15.25" style="1" customWidth="1"/>
    <col min="12292" max="12298" width="14.625" style="1" customWidth="1"/>
    <col min="12299" max="12299" width="0" style="1" hidden="1" customWidth="1"/>
    <col min="12300" max="12300" width="7.875" style="1" customWidth="1"/>
    <col min="12301" max="12301" width="17.375" style="1" customWidth="1"/>
    <col min="12302" max="12302" width="14.625" style="1" customWidth="1"/>
    <col min="12303" max="12303" width="8.5" style="1" customWidth="1"/>
    <col min="12304" max="12304" width="11" style="1"/>
    <col min="12305" max="12305" width="10.125" style="1" bestFit="1" customWidth="1"/>
    <col min="12306" max="12544" width="11" style="1"/>
    <col min="12545" max="12545" width="16" style="1" customWidth="1"/>
    <col min="12546" max="12546" width="49.625" style="1" customWidth="1"/>
    <col min="12547" max="12547" width="15.25" style="1" customWidth="1"/>
    <col min="12548" max="12554" width="14.625" style="1" customWidth="1"/>
    <col min="12555" max="12555" width="0" style="1" hidden="1" customWidth="1"/>
    <col min="12556" max="12556" width="7.875" style="1" customWidth="1"/>
    <col min="12557" max="12557" width="17.375" style="1" customWidth="1"/>
    <col min="12558" max="12558" width="14.625" style="1" customWidth="1"/>
    <col min="12559" max="12559" width="8.5" style="1" customWidth="1"/>
    <col min="12560" max="12560" width="11" style="1"/>
    <col min="12561" max="12561" width="10.125" style="1" bestFit="1" customWidth="1"/>
    <col min="12562" max="12800" width="11" style="1"/>
    <col min="12801" max="12801" width="16" style="1" customWidth="1"/>
    <col min="12802" max="12802" width="49.625" style="1" customWidth="1"/>
    <col min="12803" max="12803" width="15.25" style="1" customWidth="1"/>
    <col min="12804" max="12810" width="14.625" style="1" customWidth="1"/>
    <col min="12811" max="12811" width="0" style="1" hidden="1" customWidth="1"/>
    <col min="12812" max="12812" width="7.875" style="1" customWidth="1"/>
    <col min="12813" max="12813" width="17.375" style="1" customWidth="1"/>
    <col min="12814" max="12814" width="14.625" style="1" customWidth="1"/>
    <col min="12815" max="12815" width="8.5" style="1" customWidth="1"/>
    <col min="12816" max="12816" width="11" style="1"/>
    <col min="12817" max="12817" width="10.125" style="1" bestFit="1" customWidth="1"/>
    <col min="12818" max="13056" width="11" style="1"/>
    <col min="13057" max="13057" width="16" style="1" customWidth="1"/>
    <col min="13058" max="13058" width="49.625" style="1" customWidth="1"/>
    <col min="13059" max="13059" width="15.25" style="1" customWidth="1"/>
    <col min="13060" max="13066" width="14.625" style="1" customWidth="1"/>
    <col min="13067" max="13067" width="0" style="1" hidden="1" customWidth="1"/>
    <col min="13068" max="13068" width="7.875" style="1" customWidth="1"/>
    <col min="13069" max="13069" width="17.375" style="1" customWidth="1"/>
    <col min="13070" max="13070" width="14.625" style="1" customWidth="1"/>
    <col min="13071" max="13071" width="8.5" style="1" customWidth="1"/>
    <col min="13072" max="13072" width="11" style="1"/>
    <col min="13073" max="13073" width="10.125" style="1" bestFit="1" customWidth="1"/>
    <col min="13074" max="13312" width="11" style="1"/>
    <col min="13313" max="13313" width="16" style="1" customWidth="1"/>
    <col min="13314" max="13314" width="49.625" style="1" customWidth="1"/>
    <col min="13315" max="13315" width="15.25" style="1" customWidth="1"/>
    <col min="13316" max="13322" width="14.625" style="1" customWidth="1"/>
    <col min="13323" max="13323" width="0" style="1" hidden="1" customWidth="1"/>
    <col min="13324" max="13324" width="7.875" style="1" customWidth="1"/>
    <col min="13325" max="13325" width="17.375" style="1" customWidth="1"/>
    <col min="13326" max="13326" width="14.625" style="1" customWidth="1"/>
    <col min="13327" max="13327" width="8.5" style="1" customWidth="1"/>
    <col min="13328" max="13328" width="11" style="1"/>
    <col min="13329" max="13329" width="10.125" style="1" bestFit="1" customWidth="1"/>
    <col min="13330" max="13568" width="11" style="1"/>
    <col min="13569" max="13569" width="16" style="1" customWidth="1"/>
    <col min="13570" max="13570" width="49.625" style="1" customWidth="1"/>
    <col min="13571" max="13571" width="15.25" style="1" customWidth="1"/>
    <col min="13572" max="13578" width="14.625" style="1" customWidth="1"/>
    <col min="13579" max="13579" width="0" style="1" hidden="1" customWidth="1"/>
    <col min="13580" max="13580" width="7.875" style="1" customWidth="1"/>
    <col min="13581" max="13581" width="17.375" style="1" customWidth="1"/>
    <col min="13582" max="13582" width="14.625" style="1" customWidth="1"/>
    <col min="13583" max="13583" width="8.5" style="1" customWidth="1"/>
    <col min="13584" max="13584" width="11" style="1"/>
    <col min="13585" max="13585" width="10.125" style="1" bestFit="1" customWidth="1"/>
    <col min="13586" max="13824" width="11" style="1"/>
    <col min="13825" max="13825" width="16" style="1" customWidth="1"/>
    <col min="13826" max="13826" width="49.625" style="1" customWidth="1"/>
    <col min="13827" max="13827" width="15.25" style="1" customWidth="1"/>
    <col min="13828" max="13834" width="14.625" style="1" customWidth="1"/>
    <col min="13835" max="13835" width="0" style="1" hidden="1" customWidth="1"/>
    <col min="13836" max="13836" width="7.875" style="1" customWidth="1"/>
    <col min="13837" max="13837" width="17.375" style="1" customWidth="1"/>
    <col min="13838" max="13838" width="14.625" style="1" customWidth="1"/>
    <col min="13839" max="13839" width="8.5" style="1" customWidth="1"/>
    <col min="13840" max="13840" width="11" style="1"/>
    <col min="13841" max="13841" width="10.125" style="1" bestFit="1" customWidth="1"/>
    <col min="13842" max="14080" width="11" style="1"/>
    <col min="14081" max="14081" width="16" style="1" customWidth="1"/>
    <col min="14082" max="14082" width="49.625" style="1" customWidth="1"/>
    <col min="14083" max="14083" width="15.25" style="1" customWidth="1"/>
    <col min="14084" max="14090" width="14.625" style="1" customWidth="1"/>
    <col min="14091" max="14091" width="0" style="1" hidden="1" customWidth="1"/>
    <col min="14092" max="14092" width="7.875" style="1" customWidth="1"/>
    <col min="14093" max="14093" width="17.375" style="1" customWidth="1"/>
    <col min="14094" max="14094" width="14.625" style="1" customWidth="1"/>
    <col min="14095" max="14095" width="8.5" style="1" customWidth="1"/>
    <col min="14096" max="14096" width="11" style="1"/>
    <col min="14097" max="14097" width="10.125" style="1" bestFit="1" customWidth="1"/>
    <col min="14098" max="14336" width="11" style="1"/>
    <col min="14337" max="14337" width="16" style="1" customWidth="1"/>
    <col min="14338" max="14338" width="49.625" style="1" customWidth="1"/>
    <col min="14339" max="14339" width="15.25" style="1" customWidth="1"/>
    <col min="14340" max="14346" width="14.625" style="1" customWidth="1"/>
    <col min="14347" max="14347" width="0" style="1" hidden="1" customWidth="1"/>
    <col min="14348" max="14348" width="7.875" style="1" customWidth="1"/>
    <col min="14349" max="14349" width="17.375" style="1" customWidth="1"/>
    <col min="14350" max="14350" width="14.625" style="1" customWidth="1"/>
    <col min="14351" max="14351" width="8.5" style="1" customWidth="1"/>
    <col min="14352" max="14352" width="11" style="1"/>
    <col min="14353" max="14353" width="10.125" style="1" bestFit="1" customWidth="1"/>
    <col min="14354" max="14592" width="11" style="1"/>
    <col min="14593" max="14593" width="16" style="1" customWidth="1"/>
    <col min="14594" max="14594" width="49.625" style="1" customWidth="1"/>
    <col min="14595" max="14595" width="15.25" style="1" customWidth="1"/>
    <col min="14596" max="14602" width="14.625" style="1" customWidth="1"/>
    <col min="14603" max="14603" width="0" style="1" hidden="1" customWidth="1"/>
    <col min="14604" max="14604" width="7.875" style="1" customWidth="1"/>
    <col min="14605" max="14605" width="17.375" style="1" customWidth="1"/>
    <col min="14606" max="14606" width="14.625" style="1" customWidth="1"/>
    <col min="14607" max="14607" width="8.5" style="1" customWidth="1"/>
    <col min="14608" max="14608" width="11" style="1"/>
    <col min="14609" max="14609" width="10.125" style="1" bestFit="1" customWidth="1"/>
    <col min="14610" max="14848" width="11" style="1"/>
    <col min="14849" max="14849" width="16" style="1" customWidth="1"/>
    <col min="14850" max="14850" width="49.625" style="1" customWidth="1"/>
    <col min="14851" max="14851" width="15.25" style="1" customWidth="1"/>
    <col min="14852" max="14858" width="14.625" style="1" customWidth="1"/>
    <col min="14859" max="14859" width="0" style="1" hidden="1" customWidth="1"/>
    <col min="14860" max="14860" width="7.875" style="1" customWidth="1"/>
    <col min="14861" max="14861" width="17.375" style="1" customWidth="1"/>
    <col min="14862" max="14862" width="14.625" style="1" customWidth="1"/>
    <col min="14863" max="14863" width="8.5" style="1" customWidth="1"/>
    <col min="14864" max="14864" width="11" style="1"/>
    <col min="14865" max="14865" width="10.125" style="1" bestFit="1" customWidth="1"/>
    <col min="14866" max="15104" width="11" style="1"/>
    <col min="15105" max="15105" width="16" style="1" customWidth="1"/>
    <col min="15106" max="15106" width="49.625" style="1" customWidth="1"/>
    <col min="15107" max="15107" width="15.25" style="1" customWidth="1"/>
    <col min="15108" max="15114" width="14.625" style="1" customWidth="1"/>
    <col min="15115" max="15115" width="0" style="1" hidden="1" customWidth="1"/>
    <col min="15116" max="15116" width="7.875" style="1" customWidth="1"/>
    <col min="15117" max="15117" width="17.375" style="1" customWidth="1"/>
    <col min="15118" max="15118" width="14.625" style="1" customWidth="1"/>
    <col min="15119" max="15119" width="8.5" style="1" customWidth="1"/>
    <col min="15120" max="15120" width="11" style="1"/>
    <col min="15121" max="15121" width="10.125" style="1" bestFit="1" customWidth="1"/>
    <col min="15122" max="15360" width="11" style="1"/>
    <col min="15361" max="15361" width="16" style="1" customWidth="1"/>
    <col min="15362" max="15362" width="49.625" style="1" customWidth="1"/>
    <col min="15363" max="15363" width="15.25" style="1" customWidth="1"/>
    <col min="15364" max="15370" width="14.625" style="1" customWidth="1"/>
    <col min="15371" max="15371" width="0" style="1" hidden="1" customWidth="1"/>
    <col min="15372" max="15372" width="7.875" style="1" customWidth="1"/>
    <col min="15373" max="15373" width="17.375" style="1" customWidth="1"/>
    <col min="15374" max="15374" width="14.625" style="1" customWidth="1"/>
    <col min="15375" max="15375" width="8.5" style="1" customWidth="1"/>
    <col min="15376" max="15376" width="11" style="1"/>
    <col min="15377" max="15377" width="10.125" style="1" bestFit="1" customWidth="1"/>
    <col min="15378" max="15616" width="11" style="1"/>
    <col min="15617" max="15617" width="16" style="1" customWidth="1"/>
    <col min="15618" max="15618" width="49.625" style="1" customWidth="1"/>
    <col min="15619" max="15619" width="15.25" style="1" customWidth="1"/>
    <col min="15620" max="15626" width="14.625" style="1" customWidth="1"/>
    <col min="15627" max="15627" width="0" style="1" hidden="1" customWidth="1"/>
    <col min="15628" max="15628" width="7.875" style="1" customWidth="1"/>
    <col min="15629" max="15629" width="17.375" style="1" customWidth="1"/>
    <col min="15630" max="15630" width="14.625" style="1" customWidth="1"/>
    <col min="15631" max="15631" width="8.5" style="1" customWidth="1"/>
    <col min="15632" max="15632" width="11" style="1"/>
    <col min="15633" max="15633" width="10.125" style="1" bestFit="1" customWidth="1"/>
    <col min="15634" max="15872" width="11" style="1"/>
    <col min="15873" max="15873" width="16" style="1" customWidth="1"/>
    <col min="15874" max="15874" width="49.625" style="1" customWidth="1"/>
    <col min="15875" max="15875" width="15.25" style="1" customWidth="1"/>
    <col min="15876" max="15882" width="14.625" style="1" customWidth="1"/>
    <col min="15883" max="15883" width="0" style="1" hidden="1" customWidth="1"/>
    <col min="15884" max="15884" width="7.875" style="1" customWidth="1"/>
    <col min="15885" max="15885" width="17.375" style="1" customWidth="1"/>
    <col min="15886" max="15886" width="14.625" style="1" customWidth="1"/>
    <col min="15887" max="15887" width="8.5" style="1" customWidth="1"/>
    <col min="15888" max="15888" width="11" style="1"/>
    <col min="15889" max="15889" width="10.125" style="1" bestFit="1" customWidth="1"/>
    <col min="15890" max="16128" width="11" style="1"/>
    <col min="16129" max="16129" width="16" style="1" customWidth="1"/>
    <col min="16130" max="16130" width="49.625" style="1" customWidth="1"/>
    <col min="16131" max="16131" width="15.25" style="1" customWidth="1"/>
    <col min="16132" max="16138" width="14.625" style="1" customWidth="1"/>
    <col min="16139" max="16139" width="0" style="1" hidden="1" customWidth="1"/>
    <col min="16140" max="16140" width="7.875" style="1" customWidth="1"/>
    <col min="16141" max="16141" width="17.375" style="1" customWidth="1"/>
    <col min="16142" max="16142" width="14.625" style="1" customWidth="1"/>
    <col min="16143" max="16143" width="8.5" style="1" customWidth="1"/>
    <col min="16144" max="16144" width="11" style="1"/>
    <col min="16145" max="16145" width="10.125" style="1" bestFit="1" customWidth="1"/>
    <col min="16146" max="16384" width="11" style="1"/>
  </cols>
  <sheetData>
    <row r="1" spans="1:15" ht="18" x14ac:dyDescent="0.2">
      <c r="A1" s="195" t="s">
        <v>0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</row>
    <row r="2" spans="1:15" ht="18" x14ac:dyDescent="0.25">
      <c r="A2" s="196" t="s">
        <v>1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</row>
    <row r="3" spans="1:15" ht="18" x14ac:dyDescent="0.25">
      <c r="A3" s="196" t="s">
        <v>125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</row>
    <row r="4" spans="1:15" ht="18.75" thickBot="1" x14ac:dyDescent="0.3">
      <c r="A4" s="2"/>
      <c r="B4" s="4"/>
      <c r="C4" s="4"/>
      <c r="D4" s="4"/>
      <c r="E4" s="6"/>
      <c r="F4" s="6"/>
      <c r="G4" s="4"/>
      <c r="H4" s="4"/>
      <c r="I4" s="4"/>
      <c r="J4" s="4"/>
      <c r="K4" s="4"/>
      <c r="L4" s="4"/>
      <c r="M4" s="5"/>
      <c r="N4" s="4"/>
      <c r="O4" s="3"/>
    </row>
    <row r="5" spans="1:15" ht="23.25" customHeight="1" x14ac:dyDescent="0.25">
      <c r="A5" s="47" t="s">
        <v>3</v>
      </c>
      <c r="B5" s="48" t="s">
        <v>4</v>
      </c>
      <c r="C5" s="49" t="s">
        <v>5</v>
      </c>
      <c r="D5" s="50" t="s">
        <v>6</v>
      </c>
      <c r="E5" s="51" t="s">
        <v>7</v>
      </c>
      <c r="F5" s="51" t="s">
        <v>8</v>
      </c>
      <c r="G5" s="49" t="s">
        <v>9</v>
      </c>
      <c r="H5" s="50" t="s">
        <v>10</v>
      </c>
      <c r="I5" s="51" t="s">
        <v>11</v>
      </c>
      <c r="J5" s="49" t="s">
        <v>12</v>
      </c>
      <c r="K5" s="49" t="s">
        <v>13</v>
      </c>
      <c r="L5" s="201" t="s">
        <v>14</v>
      </c>
      <c r="M5" s="52" t="s">
        <v>10</v>
      </c>
      <c r="N5" s="49" t="s">
        <v>15</v>
      </c>
      <c r="O5" s="53" t="s">
        <v>14</v>
      </c>
    </row>
    <row r="6" spans="1:15" ht="23.25" customHeight="1" thickBot="1" x14ac:dyDescent="0.3">
      <c r="A6" s="54"/>
      <c r="B6" s="55"/>
      <c r="C6" s="56" t="s">
        <v>16</v>
      </c>
      <c r="D6" s="57"/>
      <c r="E6" s="58"/>
      <c r="F6" s="58"/>
      <c r="G6" s="56" t="s">
        <v>8</v>
      </c>
      <c r="H6" s="57" t="s">
        <v>5</v>
      </c>
      <c r="I6" s="59" t="s">
        <v>17</v>
      </c>
      <c r="J6" s="56" t="s">
        <v>18</v>
      </c>
      <c r="K6" s="56" t="s">
        <v>19</v>
      </c>
      <c r="L6" s="202"/>
      <c r="M6" s="60" t="s">
        <v>19</v>
      </c>
      <c r="N6" s="56" t="s">
        <v>20</v>
      </c>
      <c r="O6" s="61"/>
    </row>
    <row r="7" spans="1:15" ht="15" x14ac:dyDescent="0.25">
      <c r="A7" s="7"/>
      <c r="B7" s="8"/>
      <c r="C7" s="9"/>
      <c r="D7" s="9"/>
      <c r="E7" s="10"/>
      <c r="F7" s="10"/>
      <c r="G7" s="9"/>
      <c r="H7" s="9"/>
      <c r="I7" s="11"/>
      <c r="J7" s="9"/>
      <c r="K7" s="9"/>
      <c r="L7" s="9"/>
      <c r="M7" s="12"/>
      <c r="N7" s="13"/>
      <c r="O7" s="14"/>
    </row>
    <row r="8" spans="1:15" s="77" customFormat="1" ht="27.75" customHeight="1" x14ac:dyDescent="0.2">
      <c r="A8" s="65" t="s">
        <v>21</v>
      </c>
      <c r="B8" s="76" t="s">
        <v>22</v>
      </c>
      <c r="C8" s="68">
        <f t="shared" ref="C8:F8" si="0">SUM(C9:C17)</f>
        <v>647432879</v>
      </c>
      <c r="D8" s="68">
        <f t="shared" si="0"/>
        <v>0</v>
      </c>
      <c r="E8" s="68">
        <f t="shared" si="0"/>
        <v>0</v>
      </c>
      <c r="F8" s="68">
        <f t="shared" si="0"/>
        <v>0</v>
      </c>
      <c r="G8" s="68">
        <f>SUM(G9:G17)</f>
        <v>18900000</v>
      </c>
      <c r="H8" s="68">
        <f>SUM(H9:H17)</f>
        <v>628532879</v>
      </c>
      <c r="I8" s="68">
        <f t="shared" ref="I8:K8" si="1">I9+I10+I11+I12+I13+I14+I15+I16+I17</f>
        <v>164727589.97776085</v>
      </c>
      <c r="J8" s="68">
        <f t="shared" si="1"/>
        <v>37089861</v>
      </c>
      <c r="K8" s="68">
        <f t="shared" si="1"/>
        <v>201817450.97776085</v>
      </c>
      <c r="L8" s="69">
        <f t="shared" ref="L8:L65" si="2">K8/H8</f>
        <v>0.32109290972789484</v>
      </c>
      <c r="M8" s="70">
        <f>I8+J8</f>
        <v>201817450.97776085</v>
      </c>
      <c r="N8" s="68">
        <f>SUM(N9:N17)</f>
        <v>426715428.02223915</v>
      </c>
      <c r="O8" s="71">
        <f t="shared" ref="O8:O36" si="3">N8/H8</f>
        <v>0.67890709027210516</v>
      </c>
    </row>
    <row r="9" spans="1:15" ht="15" x14ac:dyDescent="0.25">
      <c r="A9" s="19" t="s">
        <v>23</v>
      </c>
      <c r="B9" s="20" t="s">
        <v>24</v>
      </c>
      <c r="C9" s="21">
        <v>491332879</v>
      </c>
      <c r="D9" s="22"/>
      <c r="E9" s="23"/>
      <c r="F9" s="36"/>
      <c r="G9" s="62">
        <v>18900000</v>
      </c>
      <c r="H9" s="21">
        <f>C9-D9+E9+F9-G9</f>
        <v>472432879</v>
      </c>
      <c r="I9" s="22">
        <f>ENERO!J9+FEBRERO!J9+MARZO!J9+ABRIL!J9</f>
        <v>147907167</v>
      </c>
      <c r="J9" s="43">
        <f>36899453</f>
        <v>36899453</v>
      </c>
      <c r="K9" s="21">
        <f>SUM(I9:J9)</f>
        <v>184806620</v>
      </c>
      <c r="L9" s="16">
        <f t="shared" si="2"/>
        <v>0.39118069087651286</v>
      </c>
      <c r="M9" s="25">
        <f t="shared" ref="M9:M64" si="4">J9+I9</f>
        <v>184806620</v>
      </c>
      <c r="N9" s="26">
        <f t="shared" ref="N9:N17" si="5">H9-K9</f>
        <v>287626259</v>
      </c>
      <c r="O9" s="18">
        <f t="shared" si="3"/>
        <v>0.60881930912348714</v>
      </c>
    </row>
    <row r="10" spans="1:15" ht="15" x14ac:dyDescent="0.25">
      <c r="A10" s="19" t="s">
        <v>25</v>
      </c>
      <c r="B10" s="20" t="s">
        <v>26</v>
      </c>
      <c r="C10" s="21">
        <v>0</v>
      </c>
      <c r="D10" s="22"/>
      <c r="E10" s="23"/>
      <c r="F10" s="36"/>
      <c r="G10" s="63"/>
      <c r="H10" s="21">
        <f t="shared" ref="H10:H22" si="6">C10-D10+E10+F10-G10</f>
        <v>0</v>
      </c>
      <c r="I10" s="22">
        <f>ENERO!J10+FEBRERO!J10+MARZO!J10+ABRIL!J10</f>
        <v>0</v>
      </c>
      <c r="J10" s="22">
        <v>0</v>
      </c>
      <c r="K10" s="21">
        <f t="shared" ref="K10:K22" si="7">SUM(I10:J10)</f>
        <v>0</v>
      </c>
      <c r="L10" s="16">
        <v>0</v>
      </c>
      <c r="M10" s="25">
        <f t="shared" si="4"/>
        <v>0</v>
      </c>
      <c r="N10" s="26">
        <f t="shared" si="5"/>
        <v>0</v>
      </c>
      <c r="O10" s="18">
        <v>0</v>
      </c>
    </row>
    <row r="11" spans="1:15" ht="15" x14ac:dyDescent="0.25">
      <c r="A11" s="19" t="s">
        <v>27</v>
      </c>
      <c r="B11" s="20" t="s">
        <v>28</v>
      </c>
      <c r="C11" s="21">
        <v>2300000</v>
      </c>
      <c r="D11" s="22"/>
      <c r="E11" s="23"/>
      <c r="F11" s="36"/>
      <c r="G11" s="63"/>
      <c r="H11" s="21">
        <f t="shared" si="6"/>
        <v>2300000</v>
      </c>
      <c r="I11" s="22">
        <f>ENERO!J11+FEBRERO!J11+MARZO!J11+ABRIL!J11</f>
        <v>332560</v>
      </c>
      <c r="J11" s="22">
        <v>83140</v>
      </c>
      <c r="K11" s="21">
        <f t="shared" si="7"/>
        <v>415700</v>
      </c>
      <c r="L11" s="16">
        <f t="shared" si="2"/>
        <v>0.1807391304347826</v>
      </c>
      <c r="M11" s="25">
        <f t="shared" si="4"/>
        <v>415700</v>
      </c>
      <c r="N11" s="26">
        <f t="shared" si="5"/>
        <v>1884300</v>
      </c>
      <c r="O11" s="18">
        <f t="shared" si="3"/>
        <v>0.81926086956521738</v>
      </c>
    </row>
    <row r="12" spans="1:15" ht="15.75" customHeight="1" x14ac:dyDescent="0.25">
      <c r="A12" s="19" t="s">
        <v>29</v>
      </c>
      <c r="B12" s="20" t="s">
        <v>30</v>
      </c>
      <c r="C12" s="21">
        <v>1800000</v>
      </c>
      <c r="D12" s="22"/>
      <c r="E12" s="23"/>
      <c r="F12" s="36"/>
      <c r="G12" s="63"/>
      <c r="H12" s="21">
        <f t="shared" si="6"/>
        <v>1800000</v>
      </c>
      <c r="I12" s="22">
        <f>ENERO!J12+FEBRERO!J12+MARZO!J12+ABRIL!J12</f>
        <v>429072</v>
      </c>
      <c r="J12" s="22">
        <v>107268</v>
      </c>
      <c r="K12" s="21">
        <f t="shared" si="7"/>
        <v>536340</v>
      </c>
      <c r="L12" s="16">
        <f t="shared" si="2"/>
        <v>0.29796666666666666</v>
      </c>
      <c r="M12" s="25">
        <f t="shared" si="4"/>
        <v>536340</v>
      </c>
      <c r="N12" s="26">
        <f t="shared" si="5"/>
        <v>1263660</v>
      </c>
      <c r="O12" s="18">
        <f t="shared" si="3"/>
        <v>0.70203333333333329</v>
      </c>
    </row>
    <row r="13" spans="1:15" ht="15" x14ac:dyDescent="0.25">
      <c r="A13" s="19" t="s">
        <v>31</v>
      </c>
      <c r="B13" s="20" t="s">
        <v>32</v>
      </c>
      <c r="C13" s="21">
        <v>15000000</v>
      </c>
      <c r="D13" s="22"/>
      <c r="E13" s="23"/>
      <c r="F13" s="36"/>
      <c r="G13" s="63"/>
      <c r="H13" s="21">
        <f t="shared" si="6"/>
        <v>15000000</v>
      </c>
      <c r="I13" s="22">
        <f>ENERO!J13+FEBRERO!J13+MARZO!J13+ABRIL!J13</f>
        <v>2603271</v>
      </c>
      <c r="J13" s="43">
        <v>0</v>
      </c>
      <c r="K13" s="21">
        <f t="shared" si="7"/>
        <v>2603271</v>
      </c>
      <c r="L13" s="16">
        <f t="shared" si="2"/>
        <v>0.17355139999999999</v>
      </c>
      <c r="M13" s="25">
        <f t="shared" si="4"/>
        <v>2603271</v>
      </c>
      <c r="N13" s="26">
        <f t="shared" si="5"/>
        <v>12396729</v>
      </c>
      <c r="O13" s="18">
        <f t="shared" si="3"/>
        <v>0.82644859999999998</v>
      </c>
    </row>
    <row r="14" spans="1:15" ht="15" x14ac:dyDescent="0.25">
      <c r="A14" s="19" t="s">
        <v>33</v>
      </c>
      <c r="B14" s="20" t="s">
        <v>34</v>
      </c>
      <c r="C14" s="21">
        <v>22000000</v>
      </c>
      <c r="D14" s="22"/>
      <c r="E14" s="23"/>
      <c r="F14" s="36"/>
      <c r="G14" s="63"/>
      <c r="H14" s="21">
        <f t="shared" si="6"/>
        <v>22000000</v>
      </c>
      <c r="I14" s="22">
        <f>ENERO!J14+FEBRERO!J14+MARZO!J14+ABRIL!J14</f>
        <v>1915075</v>
      </c>
      <c r="J14" s="44">
        <v>0</v>
      </c>
      <c r="K14" s="21">
        <f t="shared" si="7"/>
        <v>1915075</v>
      </c>
      <c r="L14" s="16">
        <f t="shared" si="2"/>
        <v>8.7048863636363633E-2</v>
      </c>
      <c r="M14" s="25">
        <f t="shared" si="4"/>
        <v>1915075</v>
      </c>
      <c r="N14" s="26">
        <f t="shared" si="5"/>
        <v>20084925</v>
      </c>
      <c r="O14" s="18">
        <f t="shared" si="3"/>
        <v>0.91295113636363634</v>
      </c>
    </row>
    <row r="15" spans="1:15" ht="15" x14ac:dyDescent="0.25">
      <c r="A15" s="19" t="s">
        <v>35</v>
      </c>
      <c r="B15" s="20" t="s">
        <v>36</v>
      </c>
      <c r="C15" s="21">
        <v>33000000</v>
      </c>
      <c r="D15" s="22"/>
      <c r="E15" s="23"/>
      <c r="F15" s="36"/>
      <c r="G15" s="63"/>
      <c r="H15" s="21">
        <f t="shared" si="6"/>
        <v>33000000</v>
      </c>
      <c r="I15" s="22">
        <f>ENERO!J15+FEBRERO!J15+MARZO!J15+ABRIL!J15</f>
        <v>3808581</v>
      </c>
      <c r="J15" s="43">
        <v>0</v>
      </c>
      <c r="K15" s="21">
        <f t="shared" si="7"/>
        <v>3808581</v>
      </c>
      <c r="L15" s="16">
        <f t="shared" si="2"/>
        <v>0.11541154545454546</v>
      </c>
      <c r="M15" s="25">
        <f t="shared" si="4"/>
        <v>3808581</v>
      </c>
      <c r="N15" s="26">
        <f t="shared" si="5"/>
        <v>29191419</v>
      </c>
      <c r="O15" s="18">
        <f t="shared" si="3"/>
        <v>0.88458845454545454</v>
      </c>
    </row>
    <row r="16" spans="1:15" ht="15" x14ac:dyDescent="0.25">
      <c r="A16" s="28">
        <v>2020110109</v>
      </c>
      <c r="B16" s="20" t="s">
        <v>37</v>
      </c>
      <c r="C16" s="21">
        <v>38000000</v>
      </c>
      <c r="D16" s="22"/>
      <c r="E16" s="23"/>
      <c r="F16" s="36"/>
      <c r="G16" s="63"/>
      <c r="H16" s="21">
        <f t="shared" si="6"/>
        <v>38000000</v>
      </c>
      <c r="I16" s="22">
        <f>ENERO!J16+FEBRERO!J16+MARZO!J16+ABRIL!J16</f>
        <v>7376937.9777608663</v>
      </c>
      <c r="J16" s="43">
        <v>0</v>
      </c>
      <c r="K16" s="21">
        <f>SUM(I16:J16)</f>
        <v>7376937.9777608663</v>
      </c>
      <c r="L16" s="16">
        <f t="shared" si="2"/>
        <v>0.19412994678318068</v>
      </c>
      <c r="M16" s="25">
        <f t="shared" si="4"/>
        <v>7376937.9777608663</v>
      </c>
      <c r="N16" s="26">
        <f t="shared" si="5"/>
        <v>30623062.022239134</v>
      </c>
      <c r="O16" s="18">
        <f t="shared" si="3"/>
        <v>0.80587005321681926</v>
      </c>
    </row>
    <row r="17" spans="1:15" ht="15" x14ac:dyDescent="0.25">
      <c r="A17" s="28">
        <v>2020110108</v>
      </c>
      <c r="B17" s="20" t="s">
        <v>38</v>
      </c>
      <c r="C17" s="21">
        <v>44000000</v>
      </c>
      <c r="D17" s="22"/>
      <c r="E17" s="23"/>
      <c r="F17" s="36"/>
      <c r="G17" s="63"/>
      <c r="H17" s="21">
        <f t="shared" si="6"/>
        <v>44000000</v>
      </c>
      <c r="I17" s="22">
        <f>ENERO!J17+FEBRERO!J17+MARZO!J17+ABRIL!J17</f>
        <v>354926</v>
      </c>
      <c r="J17" s="43">
        <v>0</v>
      </c>
      <c r="K17" s="21">
        <f t="shared" si="7"/>
        <v>354926</v>
      </c>
      <c r="L17" s="16">
        <f t="shared" si="2"/>
        <v>8.0665000000000008E-3</v>
      </c>
      <c r="M17" s="25">
        <f t="shared" si="4"/>
        <v>354926</v>
      </c>
      <c r="N17" s="26">
        <f t="shared" si="5"/>
        <v>43645074</v>
      </c>
      <c r="O17" s="18">
        <f t="shared" si="3"/>
        <v>0.99193350000000002</v>
      </c>
    </row>
    <row r="18" spans="1:15" s="72" customFormat="1" ht="27.75" customHeight="1" x14ac:dyDescent="0.2">
      <c r="A18" s="65" t="s">
        <v>39</v>
      </c>
      <c r="B18" s="76" t="s">
        <v>40</v>
      </c>
      <c r="C18" s="68">
        <f t="shared" ref="C18:G18" si="8">SUM(C19:C22)</f>
        <v>20000000</v>
      </c>
      <c r="D18" s="68">
        <f t="shared" si="8"/>
        <v>0</v>
      </c>
      <c r="E18" s="68">
        <f t="shared" si="8"/>
        <v>9000000</v>
      </c>
      <c r="F18" s="68">
        <f t="shared" si="8"/>
        <v>0</v>
      </c>
      <c r="G18" s="68">
        <f t="shared" si="8"/>
        <v>0</v>
      </c>
      <c r="H18" s="68">
        <f>SUM(H19:H22)</f>
        <v>29000000</v>
      </c>
      <c r="I18" s="68">
        <f>ENERO!J18+FEBRERO!J18</f>
        <v>18000000</v>
      </c>
      <c r="J18" s="68">
        <f>J19+J21+J22+J20</f>
        <v>9200000</v>
      </c>
      <c r="K18" s="68">
        <f t="shared" ref="K18" si="9">K19+K21+K22</f>
        <v>20000000</v>
      </c>
      <c r="L18" s="69">
        <f t="shared" si="2"/>
        <v>0.68965517241379315</v>
      </c>
      <c r="M18" s="75">
        <f t="shared" si="4"/>
        <v>27200000</v>
      </c>
      <c r="N18" s="75">
        <f>SUM(N19:N22)</f>
        <v>1800000</v>
      </c>
      <c r="O18" s="71">
        <f t="shared" si="3"/>
        <v>6.2068965517241378E-2</v>
      </c>
    </row>
    <row r="19" spans="1:15" ht="15" x14ac:dyDescent="0.25">
      <c r="A19" s="19" t="s">
        <v>41</v>
      </c>
      <c r="B19" s="30" t="s">
        <v>42</v>
      </c>
      <c r="C19" s="31">
        <v>20000000</v>
      </c>
      <c r="D19" s="22"/>
      <c r="E19" s="23"/>
      <c r="F19" s="36"/>
      <c r="G19" s="63"/>
      <c r="H19" s="21">
        <f t="shared" si="6"/>
        <v>20000000</v>
      </c>
      <c r="I19" s="22">
        <f>ENERO!J19+FEBRERO!J19+MARZO!J19+ABRIL!J19</f>
        <v>18000000</v>
      </c>
      <c r="J19" s="22">
        <v>2000000</v>
      </c>
      <c r="K19" s="21">
        <f t="shared" si="7"/>
        <v>20000000</v>
      </c>
      <c r="L19" s="16">
        <f t="shared" si="2"/>
        <v>1</v>
      </c>
      <c r="M19" s="25">
        <f t="shared" si="4"/>
        <v>20000000</v>
      </c>
      <c r="N19" s="26">
        <f>H19-K19</f>
        <v>0</v>
      </c>
      <c r="O19" s="18">
        <f>N19/H19</f>
        <v>0</v>
      </c>
    </row>
    <row r="20" spans="1:15" ht="15" x14ac:dyDescent="0.25">
      <c r="A20" s="19">
        <v>45</v>
      </c>
      <c r="B20" s="30" t="s">
        <v>42</v>
      </c>
      <c r="C20" s="31"/>
      <c r="D20" s="22"/>
      <c r="E20" s="23">
        <v>9000000</v>
      </c>
      <c r="F20" s="36"/>
      <c r="G20" s="63"/>
      <c r="H20" s="21">
        <f t="shared" si="6"/>
        <v>9000000</v>
      </c>
      <c r="I20" s="22">
        <v>0</v>
      </c>
      <c r="J20" s="22">
        <v>7200000</v>
      </c>
      <c r="K20" s="21">
        <f t="shared" si="7"/>
        <v>7200000</v>
      </c>
      <c r="L20" s="16">
        <f t="shared" si="2"/>
        <v>0.8</v>
      </c>
      <c r="M20" s="25">
        <f t="shared" si="4"/>
        <v>7200000</v>
      </c>
      <c r="N20" s="26">
        <f>H20-K20</f>
        <v>1800000</v>
      </c>
      <c r="O20" s="18">
        <f>N20/H20</f>
        <v>0.2</v>
      </c>
    </row>
    <row r="21" spans="1:15" ht="15" x14ac:dyDescent="0.25">
      <c r="A21" s="19" t="s">
        <v>43</v>
      </c>
      <c r="B21" s="20" t="s">
        <v>44</v>
      </c>
      <c r="C21" s="32">
        <v>0</v>
      </c>
      <c r="D21" s="22"/>
      <c r="E21" s="23"/>
      <c r="F21" s="36"/>
      <c r="G21" s="63"/>
      <c r="H21" s="21">
        <f t="shared" si="6"/>
        <v>0</v>
      </c>
      <c r="I21" s="22">
        <f>ENERO!J20+FEBRERO!J20+MARZO!J20+ABRIL!I20</f>
        <v>0</v>
      </c>
      <c r="J21" s="22">
        <v>0</v>
      </c>
      <c r="K21" s="21">
        <f t="shared" si="7"/>
        <v>0</v>
      </c>
      <c r="L21" s="16">
        <v>0</v>
      </c>
      <c r="M21" s="25">
        <f t="shared" si="4"/>
        <v>0</v>
      </c>
      <c r="N21" s="26">
        <f>H21-K21</f>
        <v>0</v>
      </c>
      <c r="O21" s="18">
        <v>0</v>
      </c>
    </row>
    <row r="22" spans="1:15" ht="15" x14ac:dyDescent="0.25">
      <c r="A22" s="19" t="s">
        <v>45</v>
      </c>
      <c r="B22" s="33" t="s">
        <v>46</v>
      </c>
      <c r="C22" s="31">
        <v>0</v>
      </c>
      <c r="D22" s="22"/>
      <c r="E22" s="23"/>
      <c r="F22" s="36"/>
      <c r="G22" s="63"/>
      <c r="H22" s="21">
        <f t="shared" si="6"/>
        <v>0</v>
      </c>
      <c r="I22" s="22">
        <f>ENERO!J21+FEBRERO!J21+MARZO!J21+ABRIL!I21</f>
        <v>0</v>
      </c>
      <c r="J22" s="27">
        <v>0</v>
      </c>
      <c r="K22" s="21">
        <f t="shared" si="7"/>
        <v>0</v>
      </c>
      <c r="L22" s="16">
        <v>0</v>
      </c>
      <c r="M22" s="25">
        <f t="shared" si="4"/>
        <v>0</v>
      </c>
      <c r="N22" s="26">
        <f>H22-K22</f>
        <v>0</v>
      </c>
      <c r="O22" s="18">
        <v>0</v>
      </c>
    </row>
    <row r="23" spans="1:15" s="72" customFormat="1" ht="27.75" customHeight="1" x14ac:dyDescent="0.2">
      <c r="A23" s="65" t="s">
        <v>47</v>
      </c>
      <c r="B23" s="66" t="s">
        <v>48</v>
      </c>
      <c r="C23" s="68">
        <f t="shared" ref="C23:G23" si="10">SUM(C24:C28)</f>
        <v>26200000</v>
      </c>
      <c r="D23" s="68">
        <f t="shared" si="10"/>
        <v>0</v>
      </c>
      <c r="E23" s="68">
        <f t="shared" si="10"/>
        <v>25000000</v>
      </c>
      <c r="F23" s="68">
        <f t="shared" si="10"/>
        <v>0</v>
      </c>
      <c r="G23" s="68">
        <f t="shared" si="10"/>
        <v>5000000</v>
      </c>
      <c r="H23" s="68">
        <f>SUM(H24:H28)</f>
        <v>46200000</v>
      </c>
      <c r="I23" s="68">
        <f t="shared" ref="I23:J23" si="11">SUM(I24:I28)</f>
        <v>17634640</v>
      </c>
      <c r="J23" s="68">
        <f t="shared" si="11"/>
        <v>1100000</v>
      </c>
      <c r="K23" s="68">
        <f t="shared" ref="K23" si="12">K24+K25+K27+K28</f>
        <v>18734640</v>
      </c>
      <c r="L23" s="69">
        <f t="shared" si="2"/>
        <v>0.40551168831168832</v>
      </c>
      <c r="M23" s="75">
        <f t="shared" si="4"/>
        <v>18734640</v>
      </c>
      <c r="N23" s="68">
        <f t="shared" ref="N23" si="13">SUM(N24:N28)</f>
        <v>27465360</v>
      </c>
      <c r="O23" s="71">
        <f t="shared" si="3"/>
        <v>0.59448831168831173</v>
      </c>
    </row>
    <row r="24" spans="1:15" ht="15" x14ac:dyDescent="0.25">
      <c r="A24" s="19" t="s">
        <v>49</v>
      </c>
      <c r="B24" s="33" t="s">
        <v>50</v>
      </c>
      <c r="C24" s="31">
        <v>0</v>
      </c>
      <c r="D24" s="22"/>
      <c r="E24" s="23"/>
      <c r="F24" s="36"/>
      <c r="G24" s="63"/>
      <c r="H24" s="21">
        <f>C24-D24+E24+F24-G24</f>
        <v>0</v>
      </c>
      <c r="I24" s="22">
        <f>ENERO!J23+FEBRERO!J23+MARZO!J23+ABRIL!J23</f>
        <v>0</v>
      </c>
      <c r="J24" s="27">
        <v>0</v>
      </c>
      <c r="K24" s="21">
        <f t="shared" ref="K24:K61" si="14">SUM(I24:J24)</f>
        <v>0</v>
      </c>
      <c r="L24" s="16">
        <v>0</v>
      </c>
      <c r="M24" s="17">
        <f t="shared" si="4"/>
        <v>0</v>
      </c>
      <c r="N24" s="26">
        <f>H24-K24</f>
        <v>0</v>
      </c>
      <c r="O24" s="18">
        <v>0</v>
      </c>
    </row>
    <row r="25" spans="1:15" ht="15" x14ac:dyDescent="0.25">
      <c r="A25" s="19" t="s">
        <v>51</v>
      </c>
      <c r="B25" s="34" t="s">
        <v>52</v>
      </c>
      <c r="C25" s="31">
        <v>25000000</v>
      </c>
      <c r="D25" s="22"/>
      <c r="E25" s="23">
        <v>0</v>
      </c>
      <c r="F25" s="36"/>
      <c r="G25" s="63">
        <v>5000000</v>
      </c>
      <c r="H25" s="21">
        <f>C25-D25+E25+F25-G25</f>
        <v>20000000</v>
      </c>
      <c r="I25" s="22">
        <f>ENERO!J24+FEBRERO!J24+MARZO!J24+ABRIL!J24</f>
        <v>17634640</v>
      </c>
      <c r="J25" s="22">
        <v>1100000</v>
      </c>
      <c r="K25" s="21">
        <f t="shared" si="14"/>
        <v>18734640</v>
      </c>
      <c r="L25" s="16">
        <f t="shared" si="2"/>
        <v>0.93673200000000001</v>
      </c>
      <c r="M25" s="25">
        <f t="shared" si="4"/>
        <v>18734640</v>
      </c>
      <c r="N25" s="26">
        <f>H25-K25</f>
        <v>1265360</v>
      </c>
      <c r="O25" s="35">
        <f t="shared" si="3"/>
        <v>6.3268000000000005E-2</v>
      </c>
    </row>
    <row r="26" spans="1:15" ht="15" x14ac:dyDescent="0.25">
      <c r="A26" s="19">
        <v>45</v>
      </c>
      <c r="B26" s="34" t="s">
        <v>52</v>
      </c>
      <c r="C26" s="31"/>
      <c r="D26" s="22"/>
      <c r="E26" s="23">
        <v>25000000</v>
      </c>
      <c r="F26" s="36"/>
      <c r="G26" s="63"/>
      <c r="H26" s="21">
        <f>C26-D26+E26+F26-G26</f>
        <v>25000000</v>
      </c>
      <c r="I26" s="22">
        <v>0</v>
      </c>
      <c r="J26" s="22">
        <v>0</v>
      </c>
      <c r="K26" s="21">
        <f t="shared" si="14"/>
        <v>0</v>
      </c>
      <c r="L26" s="16"/>
      <c r="M26" s="25">
        <f t="shared" si="4"/>
        <v>0</v>
      </c>
      <c r="N26" s="26">
        <f>H26-K26</f>
        <v>25000000</v>
      </c>
      <c r="O26" s="35"/>
    </row>
    <row r="27" spans="1:15" ht="15" x14ac:dyDescent="0.25">
      <c r="A27" s="19" t="s">
        <v>53</v>
      </c>
      <c r="B27" s="33" t="s">
        <v>54</v>
      </c>
      <c r="C27" s="32">
        <v>1200000</v>
      </c>
      <c r="D27" s="22"/>
      <c r="E27" s="23"/>
      <c r="F27" s="36"/>
      <c r="G27" s="64"/>
      <c r="H27" s="21">
        <f>C27-D27+E27+F27-G27</f>
        <v>1200000</v>
      </c>
      <c r="I27" s="22">
        <f>ENERO!J25+FEBRERO!J25+MARZO!J25+ABRIL!J25</f>
        <v>0</v>
      </c>
      <c r="J27" s="22">
        <v>0</v>
      </c>
      <c r="K27" s="21">
        <f t="shared" si="14"/>
        <v>0</v>
      </c>
      <c r="L27" s="16">
        <f t="shared" si="2"/>
        <v>0</v>
      </c>
      <c r="M27" s="17">
        <f t="shared" si="4"/>
        <v>0</v>
      </c>
      <c r="N27" s="26">
        <f>H27-K27</f>
        <v>1200000</v>
      </c>
      <c r="O27" s="35">
        <f t="shared" si="3"/>
        <v>1</v>
      </c>
    </row>
    <row r="28" spans="1:15" ht="15" x14ac:dyDescent="0.25">
      <c r="A28" s="19" t="s">
        <v>55</v>
      </c>
      <c r="B28" s="33" t="s">
        <v>56</v>
      </c>
      <c r="C28" s="32">
        <v>0</v>
      </c>
      <c r="D28" s="22"/>
      <c r="E28" s="23"/>
      <c r="F28" s="36"/>
      <c r="G28" s="63"/>
      <c r="H28" s="21">
        <f>C28-D28+E28+F28-G28</f>
        <v>0</v>
      </c>
      <c r="I28" s="22">
        <f>ENERO!J26+FEBRERO!J26+MARZO!J26+ABRIL!J26</f>
        <v>0</v>
      </c>
      <c r="J28" s="22">
        <v>0</v>
      </c>
      <c r="K28" s="21">
        <f t="shared" si="14"/>
        <v>0</v>
      </c>
      <c r="L28" s="16">
        <v>0</v>
      </c>
      <c r="M28" s="17">
        <f t="shared" si="4"/>
        <v>0</v>
      </c>
      <c r="N28" s="26">
        <f>H28-K28</f>
        <v>0</v>
      </c>
      <c r="O28" s="35">
        <v>0</v>
      </c>
    </row>
    <row r="29" spans="1:15" s="72" customFormat="1" ht="27.75" customHeight="1" x14ac:dyDescent="0.2">
      <c r="A29" s="65" t="s">
        <v>57</v>
      </c>
      <c r="B29" s="66" t="s">
        <v>58</v>
      </c>
      <c r="C29" s="68">
        <f t="shared" ref="C29:G29" si="15">SUM(C30:C45)</f>
        <v>119922165</v>
      </c>
      <c r="D29" s="68">
        <f t="shared" si="15"/>
        <v>0</v>
      </c>
      <c r="E29" s="68">
        <f t="shared" si="15"/>
        <v>47431604</v>
      </c>
      <c r="F29" s="68">
        <f t="shared" si="15"/>
        <v>37500000</v>
      </c>
      <c r="G29" s="68">
        <f t="shared" si="15"/>
        <v>13600000</v>
      </c>
      <c r="H29" s="68">
        <f>SUM(H30:H45)</f>
        <v>191253769</v>
      </c>
      <c r="I29" s="68">
        <f t="shared" ref="I29:J29" si="16">SUM(I30:I45)</f>
        <v>85150320</v>
      </c>
      <c r="J29" s="68">
        <f t="shared" si="16"/>
        <v>13476485</v>
      </c>
      <c r="K29" s="68">
        <f>K30+K32+K34+K35+K36+K37+K38+K39+K40+K41+K42+K43+K44</f>
        <v>90881974</v>
      </c>
      <c r="L29" s="69">
        <f t="shared" si="2"/>
        <v>0.47519049938304747</v>
      </c>
      <c r="M29" s="70">
        <f>I29+J29</f>
        <v>98626805</v>
      </c>
      <c r="N29" s="75">
        <f>SUM(N30:N45)</f>
        <v>92626964</v>
      </c>
      <c r="O29" s="71">
        <f t="shared" si="3"/>
        <v>0.48431445029457171</v>
      </c>
    </row>
    <row r="30" spans="1:15" ht="15" x14ac:dyDescent="0.25">
      <c r="A30" s="19" t="s">
        <v>59</v>
      </c>
      <c r="B30" s="33" t="s">
        <v>60</v>
      </c>
      <c r="C30" s="31">
        <v>10000000</v>
      </c>
      <c r="D30" s="22"/>
      <c r="E30" s="23">
        <v>0</v>
      </c>
      <c r="F30" s="36">
        <v>2500000</v>
      </c>
      <c r="G30" s="63"/>
      <c r="H30" s="21">
        <f t="shared" ref="H30:H45" si="17">C30-D30+E30+F30-G30</f>
        <v>12500000</v>
      </c>
      <c r="I30" s="22">
        <f>ENERO!J28+FEBRERO!J28+MARZO!J28+ABRIL!J28</f>
        <v>12296891</v>
      </c>
      <c r="J30" s="22">
        <v>203109</v>
      </c>
      <c r="K30" s="21">
        <f t="shared" si="14"/>
        <v>12500000</v>
      </c>
      <c r="L30" s="16">
        <f t="shared" si="2"/>
        <v>1</v>
      </c>
      <c r="M30" s="25">
        <f t="shared" si="4"/>
        <v>12500000</v>
      </c>
      <c r="N30" s="26">
        <f t="shared" ref="N30:N43" si="18">H30-K30</f>
        <v>0</v>
      </c>
      <c r="O30" s="35">
        <f t="shared" si="3"/>
        <v>0</v>
      </c>
    </row>
    <row r="31" spans="1:15" ht="15" x14ac:dyDescent="0.25">
      <c r="A31" s="19">
        <v>45</v>
      </c>
      <c r="B31" s="33" t="s">
        <v>60</v>
      </c>
      <c r="C31" s="31"/>
      <c r="D31" s="22"/>
      <c r="E31" s="23">
        <v>15000000</v>
      </c>
      <c r="F31" s="36"/>
      <c r="G31" s="63"/>
      <c r="H31" s="21">
        <f t="shared" si="17"/>
        <v>15000000</v>
      </c>
      <c r="I31" s="22">
        <v>0</v>
      </c>
      <c r="J31" s="22">
        <f>1100000-J30</f>
        <v>896891</v>
      </c>
      <c r="K31" s="21">
        <f t="shared" si="14"/>
        <v>896891</v>
      </c>
      <c r="L31" s="16">
        <f t="shared" si="2"/>
        <v>5.9792733333333334E-2</v>
      </c>
      <c r="M31" s="25">
        <f t="shared" si="4"/>
        <v>896891</v>
      </c>
      <c r="N31" s="26">
        <f t="shared" si="18"/>
        <v>14103109</v>
      </c>
      <c r="O31" s="35"/>
    </row>
    <row r="32" spans="1:15" ht="15" x14ac:dyDescent="0.25">
      <c r="A32" s="19" t="s">
        <v>61</v>
      </c>
      <c r="B32" s="33" t="s">
        <v>62</v>
      </c>
      <c r="C32" s="31">
        <v>25000000</v>
      </c>
      <c r="D32" s="22"/>
      <c r="E32" s="23">
        <v>0</v>
      </c>
      <c r="F32" s="36">
        <f>30000000+5000000</f>
        <v>35000000</v>
      </c>
      <c r="G32" s="63"/>
      <c r="H32" s="21">
        <f t="shared" si="17"/>
        <v>60000000</v>
      </c>
      <c r="I32" s="22">
        <f>ENERO!J29+FEBRERO!J29+MARZO!J29+ABRIL!J29</f>
        <v>56989143</v>
      </c>
      <c r="J32" s="22">
        <f>9858797-J33</f>
        <v>3010857</v>
      </c>
      <c r="K32" s="21">
        <f t="shared" si="14"/>
        <v>60000000</v>
      </c>
      <c r="L32" s="16">
        <f t="shared" si="2"/>
        <v>1</v>
      </c>
      <c r="M32" s="25">
        <f>J32+I32</f>
        <v>60000000</v>
      </c>
      <c r="N32" s="26">
        <f t="shared" si="18"/>
        <v>0</v>
      </c>
      <c r="O32" s="35">
        <f t="shared" si="3"/>
        <v>0</v>
      </c>
    </row>
    <row r="33" spans="1:17" ht="15" x14ac:dyDescent="0.25">
      <c r="A33" s="19">
        <v>45</v>
      </c>
      <c r="B33" s="33" t="s">
        <v>62</v>
      </c>
      <c r="C33" s="31"/>
      <c r="D33" s="22"/>
      <c r="E33" s="23">
        <v>32431604</v>
      </c>
      <c r="F33" s="36"/>
      <c r="G33" s="63"/>
      <c r="H33" s="21">
        <f t="shared" si="17"/>
        <v>32431604</v>
      </c>
      <c r="I33" s="22">
        <v>0</v>
      </c>
      <c r="J33" s="22">
        <v>6847940</v>
      </c>
      <c r="K33" s="21">
        <f t="shared" si="14"/>
        <v>6847940</v>
      </c>
      <c r="L33" s="16">
        <f t="shared" si="2"/>
        <v>0.21115021014686786</v>
      </c>
      <c r="M33" s="25">
        <f>J33+I33</f>
        <v>6847940</v>
      </c>
      <c r="N33" s="26">
        <f t="shared" si="18"/>
        <v>25583664</v>
      </c>
      <c r="O33" s="35"/>
    </row>
    <row r="34" spans="1:17" ht="15" x14ac:dyDescent="0.25">
      <c r="A34" s="19" t="s">
        <v>63</v>
      </c>
      <c r="B34" s="33" t="s">
        <v>64</v>
      </c>
      <c r="C34" s="31">
        <v>4400000</v>
      </c>
      <c r="D34" s="22"/>
      <c r="E34" s="23"/>
      <c r="F34" s="36"/>
      <c r="G34" s="63"/>
      <c r="H34" s="21">
        <f t="shared" si="17"/>
        <v>4400000</v>
      </c>
      <c r="I34" s="22">
        <f>ENERO!J30+FEBRERO!J30+MARZO!J30+ABRIL!J30</f>
        <v>1087000</v>
      </c>
      <c r="J34" s="43">
        <v>220000</v>
      </c>
      <c r="K34" s="21">
        <f t="shared" si="14"/>
        <v>1307000</v>
      </c>
      <c r="L34" s="16">
        <f t="shared" si="2"/>
        <v>0.29704545454545456</v>
      </c>
      <c r="M34" s="25">
        <f t="shared" si="4"/>
        <v>1307000</v>
      </c>
      <c r="N34" s="26">
        <f t="shared" si="18"/>
        <v>3093000</v>
      </c>
      <c r="O34" s="35">
        <f t="shared" si="3"/>
        <v>0.7029545454545455</v>
      </c>
    </row>
    <row r="35" spans="1:17" ht="15" x14ac:dyDescent="0.25">
      <c r="A35" s="19" t="s">
        <v>65</v>
      </c>
      <c r="B35" s="33" t="s">
        <v>66</v>
      </c>
      <c r="C35" s="32">
        <v>10000000</v>
      </c>
      <c r="D35" s="22"/>
      <c r="E35" s="23"/>
      <c r="F35" s="36"/>
      <c r="G35" s="63"/>
      <c r="H35" s="21">
        <f t="shared" si="17"/>
        <v>10000000</v>
      </c>
      <c r="I35" s="22">
        <f>ENERO!J31+FEBRERO!J31+MARZO!J31+ABRIL!J31</f>
        <v>3906400</v>
      </c>
      <c r="J35" s="43">
        <v>1631102</v>
      </c>
      <c r="K35" s="21">
        <f t="shared" si="14"/>
        <v>5537502</v>
      </c>
      <c r="L35" s="16">
        <f t="shared" si="2"/>
        <v>0.55375019999999997</v>
      </c>
      <c r="M35" s="25">
        <f t="shared" si="4"/>
        <v>5537502</v>
      </c>
      <c r="N35" s="26">
        <f t="shared" si="18"/>
        <v>4462498</v>
      </c>
      <c r="O35" s="18">
        <f t="shared" si="3"/>
        <v>0.44624979999999997</v>
      </c>
    </row>
    <row r="36" spans="1:17" ht="15" x14ac:dyDescent="0.25">
      <c r="A36" s="19" t="s">
        <v>67</v>
      </c>
      <c r="B36" s="33" t="s">
        <v>68</v>
      </c>
      <c r="C36" s="32">
        <v>4800000</v>
      </c>
      <c r="D36" s="22"/>
      <c r="E36" s="23"/>
      <c r="F36" s="36"/>
      <c r="G36" s="63"/>
      <c r="H36" s="21">
        <f t="shared" si="17"/>
        <v>4800000</v>
      </c>
      <c r="I36" s="22">
        <f>ENERO!J32+FEBRERO!J32+MARZO!J32+ABRIL!J32</f>
        <v>2094706</v>
      </c>
      <c r="J36" s="43">
        <v>522116</v>
      </c>
      <c r="K36" s="21">
        <f t="shared" si="14"/>
        <v>2616822</v>
      </c>
      <c r="L36" s="16">
        <f t="shared" si="2"/>
        <v>0.54517125</v>
      </c>
      <c r="M36" s="25">
        <f t="shared" si="4"/>
        <v>2616822</v>
      </c>
      <c r="N36" s="26">
        <f t="shared" si="18"/>
        <v>2183178</v>
      </c>
      <c r="O36" s="18">
        <f t="shared" si="3"/>
        <v>0.45482875</v>
      </c>
    </row>
    <row r="37" spans="1:17" ht="15" x14ac:dyDescent="0.25">
      <c r="A37" s="19" t="s">
        <v>69</v>
      </c>
      <c r="B37" s="33" t="s">
        <v>70</v>
      </c>
      <c r="C37" s="32">
        <v>3200000</v>
      </c>
      <c r="D37" s="22"/>
      <c r="E37" s="23"/>
      <c r="F37" s="36"/>
      <c r="G37" s="63"/>
      <c r="H37" s="21">
        <f t="shared" si="17"/>
        <v>3200000</v>
      </c>
      <c r="I37" s="22">
        <f>ENERO!J33+FEBRERO!J33+MARZO!J33+ABRIL!J33</f>
        <v>424180</v>
      </c>
      <c r="J37" s="27">
        <v>144470</v>
      </c>
      <c r="K37" s="21">
        <f t="shared" si="14"/>
        <v>568650</v>
      </c>
      <c r="L37" s="16">
        <f t="shared" si="2"/>
        <v>0.17770312499999999</v>
      </c>
      <c r="M37" s="25">
        <f t="shared" si="4"/>
        <v>568650</v>
      </c>
      <c r="N37" s="26">
        <f t="shared" si="18"/>
        <v>2631350</v>
      </c>
      <c r="O37" s="18">
        <v>0</v>
      </c>
    </row>
    <row r="38" spans="1:17" ht="15" x14ac:dyDescent="0.25">
      <c r="A38" s="19" t="s">
        <v>71</v>
      </c>
      <c r="B38" s="34" t="s">
        <v>72</v>
      </c>
      <c r="C38" s="32">
        <v>3822165</v>
      </c>
      <c r="D38" s="22"/>
      <c r="E38" s="23"/>
      <c r="F38" s="36"/>
      <c r="G38" s="63"/>
      <c r="H38" s="21">
        <f t="shared" si="17"/>
        <v>3822165</v>
      </c>
      <c r="I38" s="22">
        <f>ENERO!J34+FEBRERO!J34+MARZO!J34+ABRIL!J34</f>
        <v>0</v>
      </c>
      <c r="J38" s="22">
        <v>0</v>
      </c>
      <c r="K38" s="21">
        <f t="shared" si="14"/>
        <v>0</v>
      </c>
      <c r="L38" s="16">
        <f t="shared" si="2"/>
        <v>0</v>
      </c>
      <c r="M38" s="25">
        <f t="shared" si="4"/>
        <v>0</v>
      </c>
      <c r="N38" s="26">
        <f t="shared" si="18"/>
        <v>3822165</v>
      </c>
      <c r="O38" s="18">
        <f t="shared" ref="O38:O65" si="19">N38/H38</f>
        <v>1</v>
      </c>
    </row>
    <row r="39" spans="1:17" ht="15" x14ac:dyDescent="0.25">
      <c r="A39" s="19" t="s">
        <v>73</v>
      </c>
      <c r="B39" s="33" t="s">
        <v>74</v>
      </c>
      <c r="C39" s="32">
        <v>0</v>
      </c>
      <c r="D39" s="22"/>
      <c r="E39" s="23"/>
      <c r="F39" s="38"/>
      <c r="G39" s="63"/>
      <c r="H39" s="21">
        <f t="shared" si="17"/>
        <v>0</v>
      </c>
      <c r="I39" s="22">
        <f>ENERO!J35+FEBRERO!J35+MARZO!J35+ABRIL!J35</f>
        <v>0</v>
      </c>
      <c r="J39" s="22">
        <v>0</v>
      </c>
      <c r="K39" s="21">
        <f t="shared" si="14"/>
        <v>0</v>
      </c>
      <c r="L39" s="16">
        <v>0</v>
      </c>
      <c r="M39" s="25">
        <f t="shared" si="4"/>
        <v>0</v>
      </c>
      <c r="N39" s="26">
        <f t="shared" si="18"/>
        <v>0</v>
      </c>
      <c r="O39" s="18">
        <v>0</v>
      </c>
    </row>
    <row r="40" spans="1:17" ht="15" x14ac:dyDescent="0.25">
      <c r="A40" s="19" t="s">
        <v>75</v>
      </c>
      <c r="B40" s="33" t="s">
        <v>76</v>
      </c>
      <c r="C40" s="32">
        <v>11000000</v>
      </c>
      <c r="D40" s="22"/>
      <c r="E40" s="23"/>
      <c r="F40" s="36"/>
      <c r="G40" s="63">
        <v>3600000</v>
      </c>
      <c r="H40" s="21">
        <f t="shared" si="17"/>
        <v>7400000</v>
      </c>
      <c r="I40" s="22">
        <f>ENERO!J36+FEBRERO!J36+MARZO!J36+ABRIL!J36</f>
        <v>7400000</v>
      </c>
      <c r="J40" s="45">
        <v>0</v>
      </c>
      <c r="K40" s="21">
        <f t="shared" si="14"/>
        <v>7400000</v>
      </c>
      <c r="L40" s="16">
        <f t="shared" si="2"/>
        <v>1</v>
      </c>
      <c r="M40" s="25">
        <f t="shared" si="4"/>
        <v>7400000</v>
      </c>
      <c r="N40" s="26">
        <f t="shared" si="18"/>
        <v>0</v>
      </c>
      <c r="O40" s="18">
        <f t="shared" si="19"/>
        <v>0</v>
      </c>
    </row>
    <row r="41" spans="1:17" ht="15" x14ac:dyDescent="0.25">
      <c r="A41" s="19" t="s">
        <v>77</v>
      </c>
      <c r="B41" s="34" t="s">
        <v>78</v>
      </c>
      <c r="C41" s="32">
        <v>20700000</v>
      </c>
      <c r="D41" s="22"/>
      <c r="E41" s="23"/>
      <c r="F41" s="36"/>
      <c r="G41" s="63">
        <v>10000000</v>
      </c>
      <c r="H41" s="21">
        <f t="shared" si="17"/>
        <v>10700000</v>
      </c>
      <c r="I41" s="22">
        <f>ENERO!J37+FEBRERO!J37+MARZO!J37+ABRIL!J37</f>
        <v>0</v>
      </c>
      <c r="J41" s="45">
        <v>0</v>
      </c>
      <c r="K41" s="21">
        <f t="shared" si="14"/>
        <v>0</v>
      </c>
      <c r="L41" s="16">
        <f t="shared" si="2"/>
        <v>0</v>
      </c>
      <c r="M41" s="25">
        <f t="shared" si="4"/>
        <v>0</v>
      </c>
      <c r="N41" s="26">
        <f t="shared" si="18"/>
        <v>10700000</v>
      </c>
      <c r="O41" s="35">
        <f t="shared" si="19"/>
        <v>1</v>
      </c>
    </row>
    <row r="42" spans="1:17" ht="15" x14ac:dyDescent="0.25">
      <c r="A42" s="19" t="s">
        <v>79</v>
      </c>
      <c r="B42" s="33" t="s">
        <v>80</v>
      </c>
      <c r="C42" s="32">
        <v>3000000</v>
      </c>
      <c r="D42" s="22"/>
      <c r="E42" s="23"/>
      <c r="F42" s="36"/>
      <c r="G42" s="63"/>
      <c r="H42" s="21">
        <f t="shared" si="17"/>
        <v>3000000</v>
      </c>
      <c r="I42" s="22">
        <f>ENERO!J38+FEBRERO!J38+MARZO!J38+ABRIL!J38</f>
        <v>952000</v>
      </c>
      <c r="J42" s="45">
        <v>0</v>
      </c>
      <c r="K42" s="21">
        <f t="shared" si="14"/>
        <v>952000</v>
      </c>
      <c r="L42" s="16">
        <f t="shared" si="2"/>
        <v>0.31733333333333336</v>
      </c>
      <c r="M42" s="25">
        <f t="shared" si="4"/>
        <v>952000</v>
      </c>
      <c r="N42" s="26">
        <f t="shared" si="18"/>
        <v>2048000</v>
      </c>
      <c r="O42" s="35">
        <f t="shared" si="19"/>
        <v>0.68266666666666664</v>
      </c>
    </row>
    <row r="43" spans="1:17" ht="15" x14ac:dyDescent="0.25">
      <c r="A43" s="19" t="s">
        <v>81</v>
      </c>
      <c r="B43" s="33" t="s">
        <v>82</v>
      </c>
      <c r="C43" s="32">
        <v>20000000</v>
      </c>
      <c r="D43" s="22"/>
      <c r="E43" s="23"/>
      <c r="F43" s="36"/>
      <c r="G43" s="63"/>
      <c r="H43" s="21">
        <f t="shared" si="17"/>
        <v>20000000</v>
      </c>
      <c r="I43" s="22">
        <f>ENERO!J39+FEBRERO!J39+MARZO!J39+ABRIL!J39</f>
        <v>0</v>
      </c>
      <c r="J43" s="22">
        <v>0</v>
      </c>
      <c r="K43" s="21">
        <f t="shared" si="14"/>
        <v>0</v>
      </c>
      <c r="L43" s="16">
        <f t="shared" si="2"/>
        <v>0</v>
      </c>
      <c r="M43" s="25">
        <f t="shared" si="4"/>
        <v>0</v>
      </c>
      <c r="N43" s="26">
        <f t="shared" si="18"/>
        <v>20000000</v>
      </c>
      <c r="O43" s="18">
        <f t="shared" si="19"/>
        <v>1</v>
      </c>
    </row>
    <row r="44" spans="1:17" ht="15" x14ac:dyDescent="0.25">
      <c r="A44" s="19" t="s">
        <v>83</v>
      </c>
      <c r="B44" s="33" t="s">
        <v>84</v>
      </c>
      <c r="C44" s="32">
        <v>4000000</v>
      </c>
      <c r="D44" s="22"/>
      <c r="E44" s="23"/>
      <c r="F44" s="36"/>
      <c r="G44" s="63"/>
      <c r="H44" s="21">
        <f t="shared" si="17"/>
        <v>4000000</v>
      </c>
      <c r="I44" s="22">
        <f>ENERO!J40+FEBRERO!J40+MARZO!J40+ABRIL!J40</f>
        <v>0</v>
      </c>
      <c r="J44" s="22">
        <v>0</v>
      </c>
      <c r="K44" s="21">
        <f t="shared" si="14"/>
        <v>0</v>
      </c>
      <c r="L44" s="16">
        <f>K44/H44</f>
        <v>0</v>
      </c>
      <c r="M44" s="25">
        <f t="shared" si="4"/>
        <v>0</v>
      </c>
      <c r="N44" s="26">
        <f>H44-K44</f>
        <v>4000000</v>
      </c>
      <c r="O44" s="18">
        <f t="shared" si="19"/>
        <v>1</v>
      </c>
    </row>
    <row r="45" spans="1:17" ht="15" x14ac:dyDescent="0.25">
      <c r="A45" s="19" t="s">
        <v>85</v>
      </c>
      <c r="B45" s="33" t="s">
        <v>86</v>
      </c>
      <c r="C45" s="32">
        <v>0</v>
      </c>
      <c r="D45" s="22"/>
      <c r="E45" s="23"/>
      <c r="F45" s="36"/>
      <c r="G45" s="63"/>
      <c r="H45" s="21">
        <f t="shared" si="17"/>
        <v>0</v>
      </c>
      <c r="I45" s="22">
        <f>ENERO!J41+FEBRERO!J41+MARZO!J41+ABRIL!J41</f>
        <v>0</v>
      </c>
      <c r="J45" s="22">
        <v>0</v>
      </c>
      <c r="K45" s="21">
        <f t="shared" si="14"/>
        <v>0</v>
      </c>
      <c r="L45" s="16">
        <v>0</v>
      </c>
      <c r="M45" s="25">
        <f t="shared" si="4"/>
        <v>0</v>
      </c>
      <c r="N45" s="26">
        <f>H45-K45</f>
        <v>0</v>
      </c>
      <c r="O45" s="18">
        <v>0</v>
      </c>
    </row>
    <row r="46" spans="1:17" s="72" customFormat="1" ht="27.75" customHeight="1" x14ac:dyDescent="0.2">
      <c r="A46" s="65" t="s">
        <v>87</v>
      </c>
      <c r="B46" s="82" t="s">
        <v>88</v>
      </c>
      <c r="C46" s="73">
        <f>SUM(C47:C50)</f>
        <v>115800000</v>
      </c>
      <c r="D46" s="73">
        <f t="shared" ref="D46:J46" si="20">SUM(D47:D50)</f>
        <v>0</v>
      </c>
      <c r="E46" s="73">
        <f t="shared" si="20"/>
        <v>0</v>
      </c>
      <c r="F46" s="73">
        <f t="shared" si="20"/>
        <v>0</v>
      </c>
      <c r="G46" s="73">
        <f t="shared" si="20"/>
        <v>0</v>
      </c>
      <c r="H46" s="73">
        <f t="shared" si="20"/>
        <v>115800000</v>
      </c>
      <c r="I46" s="73">
        <f t="shared" si="20"/>
        <v>34610295</v>
      </c>
      <c r="J46" s="73">
        <f t="shared" si="20"/>
        <v>7784846</v>
      </c>
      <c r="K46" s="68">
        <f t="shared" ref="K46" si="21">K47+K48+K49+K50</f>
        <v>42395141</v>
      </c>
      <c r="L46" s="69">
        <f t="shared" si="2"/>
        <v>0.36610657167530225</v>
      </c>
      <c r="M46" s="73">
        <f t="shared" si="4"/>
        <v>42395141</v>
      </c>
      <c r="N46" s="73">
        <f t="shared" ref="N46" si="22">SUM(N47:N50)</f>
        <v>73404859</v>
      </c>
      <c r="O46" s="71">
        <f t="shared" si="19"/>
        <v>0.63389342832469775</v>
      </c>
    </row>
    <row r="47" spans="1:17" ht="15" x14ac:dyDescent="0.25">
      <c r="A47" s="19" t="s">
        <v>89</v>
      </c>
      <c r="B47" s="33" t="s">
        <v>90</v>
      </c>
      <c r="C47" s="21">
        <v>33000000</v>
      </c>
      <c r="D47" s="22"/>
      <c r="E47" s="23"/>
      <c r="F47" s="36"/>
      <c r="G47" s="63"/>
      <c r="H47" s="21">
        <f>C47-D47+E47+F47-G47</f>
        <v>33000000</v>
      </c>
      <c r="I47" s="22">
        <f>ENERO!J43+FEBRERO!J43+MARZO!J43+ABRIL!J43</f>
        <v>2092310</v>
      </c>
      <c r="J47" s="44">
        <v>0</v>
      </c>
      <c r="K47" s="21">
        <f t="shared" si="14"/>
        <v>2092310</v>
      </c>
      <c r="L47" s="16">
        <f t="shared" si="2"/>
        <v>6.3403333333333339E-2</v>
      </c>
      <c r="M47" s="25">
        <f t="shared" si="4"/>
        <v>2092310</v>
      </c>
      <c r="N47" s="26">
        <f>H47-K47</f>
        <v>30907690</v>
      </c>
      <c r="O47" s="18">
        <f t="shared" si="19"/>
        <v>0.93659666666666663</v>
      </c>
    </row>
    <row r="48" spans="1:17" ht="15" x14ac:dyDescent="0.25">
      <c r="A48" s="19" t="s">
        <v>91</v>
      </c>
      <c r="B48" s="33" t="s">
        <v>92</v>
      </c>
      <c r="C48" s="21">
        <v>38000000</v>
      </c>
      <c r="D48" s="22"/>
      <c r="E48" s="23"/>
      <c r="F48" s="36"/>
      <c r="G48" s="63"/>
      <c r="H48" s="21">
        <f>C48-D48+E48+F48-G48</f>
        <v>38000000</v>
      </c>
      <c r="I48" s="22">
        <f>ENERO!J44+FEBRERO!J44+MARZO!J44+ABRIL!J44</f>
        <v>13125524</v>
      </c>
      <c r="J48" s="43">
        <v>3137123</v>
      </c>
      <c r="K48" s="21">
        <f t="shared" si="14"/>
        <v>16262647</v>
      </c>
      <c r="L48" s="16">
        <f t="shared" si="2"/>
        <v>0.42796439473684211</v>
      </c>
      <c r="M48" s="25">
        <f t="shared" si="4"/>
        <v>16262647</v>
      </c>
      <c r="N48" s="26">
        <f>H48-K48</f>
        <v>21737353</v>
      </c>
      <c r="O48" s="18">
        <f t="shared" si="19"/>
        <v>0.57203560526315789</v>
      </c>
      <c r="Q48" s="37"/>
    </row>
    <row r="49" spans="1:17" ht="15" x14ac:dyDescent="0.25">
      <c r="A49" s="28">
        <v>2020110304</v>
      </c>
      <c r="B49" s="33" t="s">
        <v>93</v>
      </c>
      <c r="C49" s="21">
        <v>36800000</v>
      </c>
      <c r="D49" s="22"/>
      <c r="E49" s="23"/>
      <c r="F49" s="36"/>
      <c r="G49" s="63"/>
      <c r="H49" s="21">
        <f>C49-D49+E49+F49-G49</f>
        <v>36800000</v>
      </c>
      <c r="I49" s="22">
        <f>ENERO!J45+FEBRERO!J45+MARZO!J45+ABRIL!J45</f>
        <v>18828949</v>
      </c>
      <c r="J49" s="43">
        <v>4647723</v>
      </c>
      <c r="K49" s="21">
        <f t="shared" si="14"/>
        <v>23476672</v>
      </c>
      <c r="L49" s="16">
        <f t="shared" si="2"/>
        <v>0.63795304347826087</v>
      </c>
      <c r="M49" s="25">
        <f t="shared" si="4"/>
        <v>23476672</v>
      </c>
      <c r="N49" s="26">
        <f>H49-K49</f>
        <v>13323328</v>
      </c>
      <c r="O49" s="18">
        <f t="shared" si="19"/>
        <v>0.36204695652173913</v>
      </c>
      <c r="Q49" s="37"/>
    </row>
    <row r="50" spans="1:17" ht="15" x14ac:dyDescent="0.25">
      <c r="A50" s="28">
        <v>2020110305</v>
      </c>
      <c r="B50" s="33" t="s">
        <v>94</v>
      </c>
      <c r="C50" s="21">
        <v>8000000</v>
      </c>
      <c r="D50" s="15"/>
      <c r="E50" s="23"/>
      <c r="F50" s="36"/>
      <c r="G50" s="46"/>
      <c r="H50" s="21">
        <f>C50-D50+E50+F50-G50</f>
        <v>8000000</v>
      </c>
      <c r="I50" s="22">
        <f>ENERO!J46+FEBRERO!J46+MARZO!J46+ABRIL!J46</f>
        <v>563512</v>
      </c>
      <c r="J50" s="21">
        <v>0</v>
      </c>
      <c r="K50" s="21">
        <f t="shared" si="14"/>
        <v>563512</v>
      </c>
      <c r="L50" s="16">
        <f t="shared" si="2"/>
        <v>7.0439000000000002E-2</v>
      </c>
      <c r="M50" s="25">
        <f t="shared" si="4"/>
        <v>563512</v>
      </c>
      <c r="N50" s="26">
        <f>H50-K50</f>
        <v>7436488</v>
      </c>
      <c r="O50" s="18">
        <f t="shared" si="19"/>
        <v>0.92956099999999997</v>
      </c>
      <c r="Q50" s="37"/>
    </row>
    <row r="51" spans="1:17" s="72" customFormat="1" ht="27.75" customHeight="1" x14ac:dyDescent="0.2">
      <c r="A51" s="65">
        <v>20201104</v>
      </c>
      <c r="B51" s="83" t="s">
        <v>96</v>
      </c>
      <c r="C51" s="73">
        <f>SUM(C52:C61)</f>
        <v>100800000</v>
      </c>
      <c r="D51" s="73">
        <f t="shared" ref="D51:H51" si="23">SUM(D52:D61)</f>
        <v>0</v>
      </c>
      <c r="E51" s="73">
        <f t="shared" si="23"/>
        <v>0</v>
      </c>
      <c r="F51" s="73">
        <f t="shared" si="23"/>
        <v>0</v>
      </c>
      <c r="G51" s="73">
        <f t="shared" si="23"/>
        <v>0</v>
      </c>
      <c r="H51" s="73">
        <f t="shared" si="23"/>
        <v>100800000</v>
      </c>
      <c r="I51" s="68">
        <f>SUM(I52:I61)</f>
        <v>19284300</v>
      </c>
      <c r="J51" s="68">
        <f>SUM(J52:J61)</f>
        <v>3574500</v>
      </c>
      <c r="K51" s="68">
        <f t="shared" si="14"/>
        <v>22858800</v>
      </c>
      <c r="L51" s="69">
        <f t="shared" si="2"/>
        <v>0.22677380952380952</v>
      </c>
      <c r="M51" s="70">
        <f t="shared" si="4"/>
        <v>22858800</v>
      </c>
      <c r="N51" s="75">
        <f>SUM(N52:N61)</f>
        <v>77941200</v>
      </c>
      <c r="O51" s="71">
        <f t="shared" si="19"/>
        <v>0.77322619047619046</v>
      </c>
      <c r="Q51" s="79"/>
    </row>
    <row r="52" spans="1:17" ht="15" x14ac:dyDescent="0.25">
      <c r="A52" s="78" t="s">
        <v>97</v>
      </c>
      <c r="B52" s="33" t="s">
        <v>98</v>
      </c>
      <c r="C52" s="31">
        <v>21000000</v>
      </c>
      <c r="D52" s="22"/>
      <c r="E52" s="23"/>
      <c r="F52" s="36"/>
      <c r="G52" s="63"/>
      <c r="H52" s="21">
        <f t="shared" ref="H52:H63" si="24">C52-D52+E52+F52-G52</f>
        <v>21000000</v>
      </c>
      <c r="I52" s="22">
        <f>ENERO!J48+FEBRERO!J48+MARZO!J48+ABRIL!J48</f>
        <v>4435100</v>
      </c>
      <c r="J52" s="27">
        <v>0</v>
      </c>
      <c r="K52" s="21">
        <f t="shared" si="14"/>
        <v>4435100</v>
      </c>
      <c r="L52" s="16">
        <f t="shared" si="2"/>
        <v>0.2111952380952381</v>
      </c>
      <c r="M52" s="25">
        <f t="shared" si="4"/>
        <v>4435100</v>
      </c>
      <c r="N52" s="26">
        <f t="shared" ref="N52:N64" si="25">H52-K52</f>
        <v>16564900</v>
      </c>
      <c r="O52" s="18">
        <f t="shared" si="19"/>
        <v>0.7888047619047619</v>
      </c>
      <c r="Q52" s="37"/>
    </row>
    <row r="53" spans="1:17" ht="15" x14ac:dyDescent="0.25">
      <c r="A53" s="19" t="s">
        <v>99</v>
      </c>
      <c r="B53" s="33" t="s">
        <v>92</v>
      </c>
      <c r="C53" s="31">
        <v>0</v>
      </c>
      <c r="D53" s="22"/>
      <c r="E53" s="23"/>
      <c r="F53" s="36"/>
      <c r="G53" s="63"/>
      <c r="H53" s="21">
        <f t="shared" si="24"/>
        <v>0</v>
      </c>
      <c r="I53" s="22">
        <f>ENERO!J49+FEBRERO!J49+MARZO!J49+ABRIL!J49</f>
        <v>0</v>
      </c>
      <c r="J53" s="22">
        <v>0</v>
      </c>
      <c r="K53" s="21">
        <f t="shared" si="14"/>
        <v>0</v>
      </c>
      <c r="L53" s="16">
        <v>0</v>
      </c>
      <c r="M53" s="17">
        <f t="shared" si="4"/>
        <v>0</v>
      </c>
      <c r="N53" s="26">
        <f t="shared" si="25"/>
        <v>0</v>
      </c>
      <c r="O53" s="18">
        <v>0</v>
      </c>
      <c r="Q53" s="37"/>
    </row>
    <row r="54" spans="1:17" ht="15" x14ac:dyDescent="0.25">
      <c r="A54" s="19" t="s">
        <v>100</v>
      </c>
      <c r="B54" s="33" t="s">
        <v>101</v>
      </c>
      <c r="C54" s="31">
        <v>3000000</v>
      </c>
      <c r="D54" s="22"/>
      <c r="E54" s="23"/>
      <c r="F54" s="36"/>
      <c r="G54" s="63"/>
      <c r="H54" s="21">
        <f t="shared" si="24"/>
        <v>3000000</v>
      </c>
      <c r="I54" s="22">
        <f>ENERO!J50+FEBRERO!J50+MARZO!J50+ABRIL!J50</f>
        <v>1005100</v>
      </c>
      <c r="J54" s="43">
        <v>250300</v>
      </c>
      <c r="K54" s="21">
        <f t="shared" si="14"/>
        <v>1255400</v>
      </c>
      <c r="L54" s="16">
        <f t="shared" si="2"/>
        <v>0.41846666666666665</v>
      </c>
      <c r="M54" s="25">
        <f t="shared" si="4"/>
        <v>1255400</v>
      </c>
      <c r="N54" s="26">
        <f t="shared" si="25"/>
        <v>1744600</v>
      </c>
      <c r="O54" s="18">
        <f t="shared" si="19"/>
        <v>0.58153333333333335</v>
      </c>
      <c r="Q54" s="37"/>
    </row>
    <row r="55" spans="1:17" ht="15" x14ac:dyDescent="0.25">
      <c r="A55" s="19" t="s">
        <v>102</v>
      </c>
      <c r="B55" s="33" t="s">
        <v>93</v>
      </c>
      <c r="C55" s="32">
        <v>22000000</v>
      </c>
      <c r="D55" s="22"/>
      <c r="E55" s="23"/>
      <c r="F55" s="36"/>
      <c r="G55" s="63"/>
      <c r="H55" s="21">
        <f t="shared" si="24"/>
        <v>22000000</v>
      </c>
      <c r="I55" s="22">
        <f>ENERO!J51+FEBRERO!J51+MARZO!J51+ABRIL!J51</f>
        <v>0</v>
      </c>
      <c r="J55" s="39">
        <v>0</v>
      </c>
      <c r="K55" s="21">
        <f t="shared" si="14"/>
        <v>0</v>
      </c>
      <c r="L55" s="16">
        <f t="shared" si="2"/>
        <v>0</v>
      </c>
      <c r="M55" s="25">
        <f t="shared" si="4"/>
        <v>0</v>
      </c>
      <c r="N55" s="26">
        <f t="shared" si="25"/>
        <v>22000000</v>
      </c>
      <c r="O55" s="18">
        <f t="shared" si="19"/>
        <v>1</v>
      </c>
      <c r="Q55" s="37"/>
    </row>
    <row r="56" spans="1:17" ht="15" x14ac:dyDescent="0.25">
      <c r="A56" s="19" t="s">
        <v>103</v>
      </c>
      <c r="B56" s="33" t="s">
        <v>104</v>
      </c>
      <c r="C56" s="32">
        <v>23000000</v>
      </c>
      <c r="D56" s="22"/>
      <c r="E56" s="23"/>
      <c r="F56" s="36"/>
      <c r="G56" s="63"/>
      <c r="H56" s="21">
        <f t="shared" si="24"/>
        <v>23000000</v>
      </c>
      <c r="I56" s="22">
        <f>ENERO!J52+FEBRERO!J52+MARZO!J52+ABRIL!J52</f>
        <v>6177300</v>
      </c>
      <c r="J56" s="43">
        <v>1476400</v>
      </c>
      <c r="K56" s="21">
        <f t="shared" si="14"/>
        <v>7653700</v>
      </c>
      <c r="L56" s="16">
        <f t="shared" si="2"/>
        <v>0.33276956521739132</v>
      </c>
      <c r="M56" s="25">
        <f t="shared" si="4"/>
        <v>7653700</v>
      </c>
      <c r="N56" s="26">
        <f t="shared" si="25"/>
        <v>15346300</v>
      </c>
      <c r="O56" s="18">
        <f t="shared" si="19"/>
        <v>0.66723043478260868</v>
      </c>
      <c r="Q56" s="37"/>
    </row>
    <row r="57" spans="1:17" ht="15" x14ac:dyDescent="0.25">
      <c r="A57" s="19" t="s">
        <v>105</v>
      </c>
      <c r="B57" s="33" t="s">
        <v>106</v>
      </c>
      <c r="C57" s="32">
        <v>19800000</v>
      </c>
      <c r="D57" s="22"/>
      <c r="E57" s="23"/>
      <c r="F57" s="36"/>
      <c r="G57" s="63"/>
      <c r="H57" s="21">
        <f t="shared" si="24"/>
        <v>19800000</v>
      </c>
      <c r="I57" s="22">
        <f>ENERO!J53+FEBRERO!J53+MARZO!J53+ABRIL!J53</f>
        <v>4633200</v>
      </c>
      <c r="J57" s="43">
        <v>1107700</v>
      </c>
      <c r="K57" s="21">
        <f t="shared" si="14"/>
        <v>5740900</v>
      </c>
      <c r="L57" s="16">
        <f t="shared" si="2"/>
        <v>0.28994444444444445</v>
      </c>
      <c r="M57" s="25">
        <f t="shared" si="4"/>
        <v>5740900</v>
      </c>
      <c r="N57" s="26">
        <f t="shared" si="25"/>
        <v>14059100</v>
      </c>
      <c r="O57" s="18">
        <f t="shared" si="19"/>
        <v>0.71005555555555555</v>
      </c>
      <c r="Q57" s="37"/>
    </row>
    <row r="58" spans="1:17" ht="15" x14ac:dyDescent="0.25">
      <c r="A58" s="19" t="s">
        <v>107</v>
      </c>
      <c r="B58" s="33" t="s">
        <v>108</v>
      </c>
      <c r="C58" s="32">
        <v>3000000</v>
      </c>
      <c r="D58" s="22"/>
      <c r="E58" s="23"/>
      <c r="F58" s="36"/>
      <c r="G58" s="63"/>
      <c r="H58" s="21">
        <f t="shared" si="24"/>
        <v>3000000</v>
      </c>
      <c r="I58" s="22">
        <f>ENERO!J54+FEBRERO!J54+MARZO!J54+ABRIL!J54</f>
        <v>754000</v>
      </c>
      <c r="J58" s="43">
        <v>185200</v>
      </c>
      <c r="K58" s="21">
        <f t="shared" si="14"/>
        <v>939200</v>
      </c>
      <c r="L58" s="16">
        <f t="shared" si="2"/>
        <v>0.31306666666666666</v>
      </c>
      <c r="M58" s="25">
        <f t="shared" si="4"/>
        <v>939200</v>
      </c>
      <c r="N58" s="26">
        <f t="shared" si="25"/>
        <v>2060800</v>
      </c>
      <c r="O58" s="18">
        <f t="shared" si="19"/>
        <v>0.68693333333333328</v>
      </c>
      <c r="Q58" s="37"/>
    </row>
    <row r="59" spans="1:17" ht="15" x14ac:dyDescent="0.25">
      <c r="A59" s="19" t="s">
        <v>109</v>
      </c>
      <c r="B59" s="33" t="s">
        <v>110</v>
      </c>
      <c r="C59" s="32">
        <v>3000000</v>
      </c>
      <c r="D59" s="22"/>
      <c r="E59" s="23"/>
      <c r="F59" s="36"/>
      <c r="G59" s="63"/>
      <c r="H59" s="21">
        <f t="shared" si="24"/>
        <v>3000000</v>
      </c>
      <c r="I59" s="22">
        <f>ENERO!J55+FEBRERO!J55+MARZO!J55+ABRIL!J55</f>
        <v>773400</v>
      </c>
      <c r="J59" s="43">
        <v>185200</v>
      </c>
      <c r="K59" s="21">
        <f t="shared" si="14"/>
        <v>958600</v>
      </c>
      <c r="L59" s="16">
        <f t="shared" si="2"/>
        <v>0.31953333333333334</v>
      </c>
      <c r="M59" s="25">
        <f t="shared" si="4"/>
        <v>958600</v>
      </c>
      <c r="N59" s="26">
        <f t="shared" si="25"/>
        <v>2041400</v>
      </c>
      <c r="O59" s="18">
        <f t="shared" si="19"/>
        <v>0.68046666666666666</v>
      </c>
      <c r="Q59" s="37"/>
    </row>
    <row r="60" spans="1:17" ht="15" x14ac:dyDescent="0.25">
      <c r="A60" s="19" t="s">
        <v>111</v>
      </c>
      <c r="B60" s="33" t="s">
        <v>112</v>
      </c>
      <c r="C60" s="32">
        <v>6000000</v>
      </c>
      <c r="D60" s="22"/>
      <c r="E60" s="23"/>
      <c r="F60" s="36"/>
      <c r="G60" s="63"/>
      <c r="H60" s="21">
        <f t="shared" si="24"/>
        <v>6000000</v>
      </c>
      <c r="I60" s="22">
        <f>ENERO!J56+FEBRERO!J56+MARZO!J56+ABRIL!J56</f>
        <v>1506200</v>
      </c>
      <c r="J60" s="43">
        <v>369700</v>
      </c>
      <c r="K60" s="21">
        <f t="shared" si="14"/>
        <v>1875900</v>
      </c>
      <c r="L60" s="16">
        <f t="shared" si="2"/>
        <v>0.31264999999999998</v>
      </c>
      <c r="M60" s="25">
        <f>J60+I60</f>
        <v>1875900</v>
      </c>
      <c r="N60" s="26">
        <f t="shared" si="25"/>
        <v>4124100</v>
      </c>
      <c r="O60" s="18">
        <f t="shared" si="19"/>
        <v>0.68735000000000002</v>
      </c>
      <c r="Q60" s="37"/>
    </row>
    <row r="61" spans="1:17" ht="15" x14ac:dyDescent="0.25">
      <c r="A61" s="19" t="s">
        <v>113</v>
      </c>
      <c r="B61" s="33" t="s">
        <v>114</v>
      </c>
      <c r="C61" s="32"/>
      <c r="D61" s="22"/>
      <c r="E61" s="23"/>
      <c r="F61" s="36"/>
      <c r="G61" s="63"/>
      <c r="H61" s="21">
        <f t="shared" si="24"/>
        <v>0</v>
      </c>
      <c r="I61" s="22">
        <f>ENERO!J57+FEBRERO!J57+MARZO!J57</f>
        <v>0</v>
      </c>
      <c r="J61" s="22">
        <v>0</v>
      </c>
      <c r="K61" s="21">
        <f t="shared" si="14"/>
        <v>0</v>
      </c>
      <c r="L61" s="16">
        <v>0</v>
      </c>
      <c r="M61" s="17">
        <f t="shared" si="4"/>
        <v>0</v>
      </c>
      <c r="N61" s="26">
        <f t="shared" si="25"/>
        <v>0</v>
      </c>
      <c r="O61" s="18">
        <v>0</v>
      </c>
      <c r="Q61" s="37"/>
    </row>
    <row r="62" spans="1:17" ht="27" customHeight="1" x14ac:dyDescent="0.2">
      <c r="A62" s="180">
        <v>20201203</v>
      </c>
      <c r="B62" s="66" t="s">
        <v>123</v>
      </c>
      <c r="C62" s="73">
        <f>C63</f>
        <v>0</v>
      </c>
      <c r="D62" s="74">
        <f t="shared" ref="D62:G62" si="26">D63</f>
        <v>0</v>
      </c>
      <c r="E62" s="74">
        <f>E63+E64</f>
        <v>50000000</v>
      </c>
      <c r="F62" s="68">
        <f t="shared" si="26"/>
        <v>0</v>
      </c>
      <c r="G62" s="74">
        <f t="shared" si="26"/>
        <v>0</v>
      </c>
      <c r="H62" s="68">
        <f>SUM(H63:H64)</f>
        <v>50000000</v>
      </c>
      <c r="I62" s="68">
        <f t="shared" ref="I62" si="27">I63</f>
        <v>0</v>
      </c>
      <c r="J62" s="68">
        <f t="shared" ref="J62:K62" si="28">J63</f>
        <v>0</v>
      </c>
      <c r="K62" s="68">
        <f t="shared" si="28"/>
        <v>0</v>
      </c>
      <c r="L62" s="69">
        <f t="shared" ref="L62" si="29">L63</f>
        <v>0</v>
      </c>
      <c r="M62" s="70">
        <f>J62+I62</f>
        <v>0</v>
      </c>
      <c r="N62" s="75">
        <f>SUM(N63:N64)</f>
        <v>50000000</v>
      </c>
      <c r="O62" s="71">
        <f t="shared" si="19"/>
        <v>1</v>
      </c>
      <c r="Q62" s="37"/>
    </row>
    <row r="63" spans="1:17" ht="15" x14ac:dyDescent="0.25">
      <c r="A63" s="181">
        <v>2020130101</v>
      </c>
      <c r="B63" s="173" t="s">
        <v>124</v>
      </c>
      <c r="C63" s="174">
        <v>0</v>
      </c>
      <c r="D63" s="175">
        <v>0</v>
      </c>
      <c r="E63" s="176">
        <v>0</v>
      </c>
      <c r="F63" s="177"/>
      <c r="G63" s="178"/>
      <c r="H63" s="21">
        <f t="shared" si="24"/>
        <v>0</v>
      </c>
      <c r="I63" s="175">
        <v>0</v>
      </c>
      <c r="J63" s="175">
        <v>0</v>
      </c>
      <c r="K63" s="179">
        <v>0</v>
      </c>
      <c r="L63" s="16">
        <v>0</v>
      </c>
      <c r="M63" s="25">
        <f t="shared" si="4"/>
        <v>0</v>
      </c>
      <c r="N63" s="26">
        <f t="shared" si="25"/>
        <v>0</v>
      </c>
      <c r="O63" s="18">
        <v>0</v>
      </c>
      <c r="Q63" s="37"/>
    </row>
    <row r="64" spans="1:17" ht="15" x14ac:dyDescent="0.25">
      <c r="A64" s="181">
        <v>45</v>
      </c>
      <c r="B64" s="173" t="s">
        <v>124</v>
      </c>
      <c r="C64" s="174">
        <v>0</v>
      </c>
      <c r="D64" s="175">
        <v>0</v>
      </c>
      <c r="E64" s="176">
        <v>50000000</v>
      </c>
      <c r="F64" s="177">
        <v>0</v>
      </c>
      <c r="G64" s="178">
        <v>0</v>
      </c>
      <c r="H64" s="21">
        <f t="shared" ref="H64" si="30">C64-D64+E64+F64-G64</f>
        <v>50000000</v>
      </c>
      <c r="I64" s="175">
        <v>0</v>
      </c>
      <c r="J64" s="175">
        <v>0</v>
      </c>
      <c r="K64" s="179">
        <v>0</v>
      </c>
      <c r="L64" s="16">
        <f t="shared" si="2"/>
        <v>0</v>
      </c>
      <c r="M64" s="25">
        <f t="shared" si="4"/>
        <v>0</v>
      </c>
      <c r="N64" s="26">
        <f t="shared" si="25"/>
        <v>50000000</v>
      </c>
      <c r="O64" s="18">
        <f t="shared" si="19"/>
        <v>1</v>
      </c>
      <c r="Q64" s="37"/>
    </row>
    <row r="65" spans="1:17" s="80" customFormat="1" ht="31.5" customHeight="1" thickBot="1" x14ac:dyDescent="0.25">
      <c r="A65" s="81"/>
      <c r="B65" s="166" t="s">
        <v>115</v>
      </c>
      <c r="C65" s="171">
        <f>C51+C46+C29+C18+C23+C8</f>
        <v>1030155044</v>
      </c>
      <c r="D65" s="167">
        <f>D9+D51</f>
        <v>0</v>
      </c>
      <c r="E65" s="167">
        <f t="shared" ref="E65:J65" si="31">E8+E18+E23+E29+E46+E51+E62</f>
        <v>131431604</v>
      </c>
      <c r="F65" s="167">
        <f t="shared" si="31"/>
        <v>37500000</v>
      </c>
      <c r="G65" s="167">
        <f t="shared" si="31"/>
        <v>37500000</v>
      </c>
      <c r="H65" s="167">
        <f>H8+H18+H23+H29+H46+H51+H62</f>
        <v>1161586648</v>
      </c>
      <c r="I65" s="167">
        <f t="shared" si="31"/>
        <v>339407144.97776085</v>
      </c>
      <c r="J65" s="167">
        <f t="shared" si="31"/>
        <v>72225692</v>
      </c>
      <c r="K65" s="167">
        <f>K51+K46+K29+K23+K18+K8</f>
        <v>396688005.97776085</v>
      </c>
      <c r="L65" s="168">
        <f t="shared" si="2"/>
        <v>0.3415053079860822</v>
      </c>
      <c r="M65" s="167">
        <f>M8+M18+M23+M29+M46+M51+M62</f>
        <v>411632836.97776085</v>
      </c>
      <c r="N65" s="167">
        <f>N8+N18+N23+N29+N46+N51+N62</f>
        <v>749953811.02223921</v>
      </c>
      <c r="O65" s="170">
        <f t="shared" si="19"/>
        <v>0.64562881496055147</v>
      </c>
    </row>
    <row r="66" spans="1:17" ht="35.25" customHeight="1" thickBot="1" x14ac:dyDescent="0.3">
      <c r="A66" s="165" t="s">
        <v>118</v>
      </c>
      <c r="B66" s="192" t="s">
        <v>119</v>
      </c>
      <c r="C66" s="193"/>
      <c r="D66" s="193"/>
      <c r="E66" s="193"/>
      <c r="F66" s="193"/>
      <c r="G66" s="193"/>
      <c r="H66" s="193"/>
      <c r="I66" s="193"/>
      <c r="J66" s="193"/>
      <c r="K66" s="193"/>
      <c r="L66" s="193"/>
      <c r="M66" s="193"/>
      <c r="N66" s="193"/>
      <c r="O66" s="194"/>
      <c r="Q66" s="40"/>
    </row>
    <row r="67" spans="1:17" x14ac:dyDescent="0.2">
      <c r="K67" s="40"/>
    </row>
    <row r="68" spans="1:17" x14ac:dyDescent="0.2">
      <c r="G68" s="40">
        <f>G65-F65</f>
        <v>0</v>
      </c>
    </row>
    <row r="69" spans="1:17" x14ac:dyDescent="0.2">
      <c r="D69" s="40"/>
      <c r="F69" s="40"/>
      <c r="G69" s="40"/>
      <c r="K69" s="40"/>
      <c r="N69" s="40"/>
    </row>
    <row r="70" spans="1:17" x14ac:dyDescent="0.2">
      <c r="G70" s="40"/>
      <c r="I70" s="40"/>
      <c r="J70" s="42"/>
      <c r="N70" s="40"/>
    </row>
    <row r="71" spans="1:17" x14ac:dyDescent="0.2">
      <c r="D71" s="40"/>
      <c r="J71" s="40"/>
      <c r="L71" s="40"/>
      <c r="N71" s="40"/>
    </row>
    <row r="72" spans="1:17" x14ac:dyDescent="0.2">
      <c r="H72" s="40"/>
      <c r="J72" s="40"/>
      <c r="N72" s="40"/>
    </row>
    <row r="73" spans="1:17" x14ac:dyDescent="0.2">
      <c r="J73" s="40"/>
    </row>
  </sheetData>
  <mergeCells count="5">
    <mergeCell ref="A1:O1"/>
    <mergeCell ref="A2:O2"/>
    <mergeCell ref="A3:O3"/>
    <mergeCell ref="B66:O66"/>
    <mergeCell ref="L5:L6"/>
  </mergeCells>
  <printOptions horizontalCentered="1" verticalCentered="1"/>
  <pageMargins left="0.23622047244094491" right="0.23622047244094491" top="0.39370078740157483" bottom="0.98425196850393704" header="0" footer="0"/>
  <pageSetup paperSize="14" scale="45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6"/>
  <sheetViews>
    <sheetView showGridLines="0" zoomScale="90" zoomScaleNormal="90" workbookViewId="0">
      <pane xSplit="2" ySplit="7" topLeftCell="C41" activePane="bottomRight" state="frozen"/>
      <selection pane="topRight" activeCell="C1" sqref="C1"/>
      <selection pane="bottomLeft" activeCell="A8" sqref="A8"/>
      <selection pane="bottomRight" activeCell="J48" sqref="J48:J57"/>
    </sheetView>
  </sheetViews>
  <sheetFormatPr baseColWidth="10" defaultRowHeight="14.25" x14ac:dyDescent="0.2"/>
  <cols>
    <col min="1" max="1" width="16" style="1" customWidth="1"/>
    <col min="2" max="2" width="49.625" style="1" customWidth="1"/>
    <col min="3" max="3" width="21.625" style="1" customWidth="1"/>
    <col min="4" max="7" width="14.625" style="1" customWidth="1"/>
    <col min="8" max="8" width="17.875" style="1" bestFit="1" customWidth="1"/>
    <col min="9" max="9" width="20.625" style="1" bestFit="1" customWidth="1"/>
    <col min="10" max="10" width="14.625" style="1" customWidth="1"/>
    <col min="11" max="11" width="14.625" style="1" hidden="1" customWidth="1"/>
    <col min="12" max="12" width="7.875" style="1" customWidth="1"/>
    <col min="13" max="13" width="17.375" style="41" customWidth="1"/>
    <col min="14" max="14" width="14.625" style="1" customWidth="1"/>
    <col min="15" max="15" width="8.5" style="1" customWidth="1"/>
    <col min="16" max="16" width="11" style="1"/>
    <col min="17" max="17" width="10.125" style="1" bestFit="1" customWidth="1"/>
    <col min="18" max="256" width="11" style="1"/>
    <col min="257" max="257" width="16" style="1" customWidth="1"/>
    <col min="258" max="258" width="49.625" style="1" customWidth="1"/>
    <col min="259" max="259" width="15.25" style="1" customWidth="1"/>
    <col min="260" max="266" width="14.625" style="1" customWidth="1"/>
    <col min="267" max="267" width="0" style="1" hidden="1" customWidth="1"/>
    <col min="268" max="268" width="7.875" style="1" customWidth="1"/>
    <col min="269" max="269" width="17.375" style="1" customWidth="1"/>
    <col min="270" max="270" width="14.625" style="1" customWidth="1"/>
    <col min="271" max="271" width="8.5" style="1" customWidth="1"/>
    <col min="272" max="272" width="11" style="1"/>
    <col min="273" max="273" width="10.125" style="1" bestFit="1" customWidth="1"/>
    <col min="274" max="512" width="11" style="1"/>
    <col min="513" max="513" width="16" style="1" customWidth="1"/>
    <col min="514" max="514" width="49.625" style="1" customWidth="1"/>
    <col min="515" max="515" width="15.25" style="1" customWidth="1"/>
    <col min="516" max="522" width="14.625" style="1" customWidth="1"/>
    <col min="523" max="523" width="0" style="1" hidden="1" customWidth="1"/>
    <col min="524" max="524" width="7.875" style="1" customWidth="1"/>
    <col min="525" max="525" width="17.375" style="1" customWidth="1"/>
    <col min="526" max="526" width="14.625" style="1" customWidth="1"/>
    <col min="527" max="527" width="8.5" style="1" customWidth="1"/>
    <col min="528" max="528" width="11" style="1"/>
    <col min="529" max="529" width="10.125" style="1" bestFit="1" customWidth="1"/>
    <col min="530" max="768" width="11" style="1"/>
    <col min="769" max="769" width="16" style="1" customWidth="1"/>
    <col min="770" max="770" width="49.625" style="1" customWidth="1"/>
    <col min="771" max="771" width="15.25" style="1" customWidth="1"/>
    <col min="772" max="778" width="14.625" style="1" customWidth="1"/>
    <col min="779" max="779" width="0" style="1" hidden="1" customWidth="1"/>
    <col min="780" max="780" width="7.875" style="1" customWidth="1"/>
    <col min="781" max="781" width="17.375" style="1" customWidth="1"/>
    <col min="782" max="782" width="14.625" style="1" customWidth="1"/>
    <col min="783" max="783" width="8.5" style="1" customWidth="1"/>
    <col min="784" max="784" width="11" style="1"/>
    <col min="785" max="785" width="10.125" style="1" bestFit="1" customWidth="1"/>
    <col min="786" max="1024" width="11" style="1"/>
    <col min="1025" max="1025" width="16" style="1" customWidth="1"/>
    <col min="1026" max="1026" width="49.625" style="1" customWidth="1"/>
    <col min="1027" max="1027" width="15.25" style="1" customWidth="1"/>
    <col min="1028" max="1034" width="14.625" style="1" customWidth="1"/>
    <col min="1035" max="1035" width="0" style="1" hidden="1" customWidth="1"/>
    <col min="1036" max="1036" width="7.875" style="1" customWidth="1"/>
    <col min="1037" max="1037" width="17.375" style="1" customWidth="1"/>
    <col min="1038" max="1038" width="14.625" style="1" customWidth="1"/>
    <col min="1039" max="1039" width="8.5" style="1" customWidth="1"/>
    <col min="1040" max="1040" width="11" style="1"/>
    <col min="1041" max="1041" width="10.125" style="1" bestFit="1" customWidth="1"/>
    <col min="1042" max="1280" width="11" style="1"/>
    <col min="1281" max="1281" width="16" style="1" customWidth="1"/>
    <col min="1282" max="1282" width="49.625" style="1" customWidth="1"/>
    <col min="1283" max="1283" width="15.25" style="1" customWidth="1"/>
    <col min="1284" max="1290" width="14.625" style="1" customWidth="1"/>
    <col min="1291" max="1291" width="0" style="1" hidden="1" customWidth="1"/>
    <col min="1292" max="1292" width="7.875" style="1" customWidth="1"/>
    <col min="1293" max="1293" width="17.375" style="1" customWidth="1"/>
    <col min="1294" max="1294" width="14.625" style="1" customWidth="1"/>
    <col min="1295" max="1295" width="8.5" style="1" customWidth="1"/>
    <col min="1296" max="1296" width="11" style="1"/>
    <col min="1297" max="1297" width="10.125" style="1" bestFit="1" customWidth="1"/>
    <col min="1298" max="1536" width="11" style="1"/>
    <col min="1537" max="1537" width="16" style="1" customWidth="1"/>
    <col min="1538" max="1538" width="49.625" style="1" customWidth="1"/>
    <col min="1539" max="1539" width="15.25" style="1" customWidth="1"/>
    <col min="1540" max="1546" width="14.625" style="1" customWidth="1"/>
    <col min="1547" max="1547" width="0" style="1" hidden="1" customWidth="1"/>
    <col min="1548" max="1548" width="7.875" style="1" customWidth="1"/>
    <col min="1549" max="1549" width="17.375" style="1" customWidth="1"/>
    <col min="1550" max="1550" width="14.625" style="1" customWidth="1"/>
    <col min="1551" max="1551" width="8.5" style="1" customWidth="1"/>
    <col min="1552" max="1552" width="11" style="1"/>
    <col min="1553" max="1553" width="10.125" style="1" bestFit="1" customWidth="1"/>
    <col min="1554" max="1792" width="11" style="1"/>
    <col min="1793" max="1793" width="16" style="1" customWidth="1"/>
    <col min="1794" max="1794" width="49.625" style="1" customWidth="1"/>
    <col min="1795" max="1795" width="15.25" style="1" customWidth="1"/>
    <col min="1796" max="1802" width="14.625" style="1" customWidth="1"/>
    <col min="1803" max="1803" width="0" style="1" hidden="1" customWidth="1"/>
    <col min="1804" max="1804" width="7.875" style="1" customWidth="1"/>
    <col min="1805" max="1805" width="17.375" style="1" customWidth="1"/>
    <col min="1806" max="1806" width="14.625" style="1" customWidth="1"/>
    <col min="1807" max="1807" width="8.5" style="1" customWidth="1"/>
    <col min="1808" max="1808" width="11" style="1"/>
    <col min="1809" max="1809" width="10.125" style="1" bestFit="1" customWidth="1"/>
    <col min="1810" max="2048" width="11" style="1"/>
    <col min="2049" max="2049" width="16" style="1" customWidth="1"/>
    <col min="2050" max="2050" width="49.625" style="1" customWidth="1"/>
    <col min="2051" max="2051" width="15.25" style="1" customWidth="1"/>
    <col min="2052" max="2058" width="14.625" style="1" customWidth="1"/>
    <col min="2059" max="2059" width="0" style="1" hidden="1" customWidth="1"/>
    <col min="2060" max="2060" width="7.875" style="1" customWidth="1"/>
    <col min="2061" max="2061" width="17.375" style="1" customWidth="1"/>
    <col min="2062" max="2062" width="14.625" style="1" customWidth="1"/>
    <col min="2063" max="2063" width="8.5" style="1" customWidth="1"/>
    <col min="2064" max="2064" width="11" style="1"/>
    <col min="2065" max="2065" width="10.125" style="1" bestFit="1" customWidth="1"/>
    <col min="2066" max="2304" width="11" style="1"/>
    <col min="2305" max="2305" width="16" style="1" customWidth="1"/>
    <col min="2306" max="2306" width="49.625" style="1" customWidth="1"/>
    <col min="2307" max="2307" width="15.25" style="1" customWidth="1"/>
    <col min="2308" max="2314" width="14.625" style="1" customWidth="1"/>
    <col min="2315" max="2315" width="0" style="1" hidden="1" customWidth="1"/>
    <col min="2316" max="2316" width="7.875" style="1" customWidth="1"/>
    <col min="2317" max="2317" width="17.375" style="1" customWidth="1"/>
    <col min="2318" max="2318" width="14.625" style="1" customWidth="1"/>
    <col min="2319" max="2319" width="8.5" style="1" customWidth="1"/>
    <col min="2320" max="2320" width="11" style="1"/>
    <col min="2321" max="2321" width="10.125" style="1" bestFit="1" customWidth="1"/>
    <col min="2322" max="2560" width="11" style="1"/>
    <col min="2561" max="2561" width="16" style="1" customWidth="1"/>
    <col min="2562" max="2562" width="49.625" style="1" customWidth="1"/>
    <col min="2563" max="2563" width="15.25" style="1" customWidth="1"/>
    <col min="2564" max="2570" width="14.625" style="1" customWidth="1"/>
    <col min="2571" max="2571" width="0" style="1" hidden="1" customWidth="1"/>
    <col min="2572" max="2572" width="7.875" style="1" customWidth="1"/>
    <col min="2573" max="2573" width="17.375" style="1" customWidth="1"/>
    <col min="2574" max="2574" width="14.625" style="1" customWidth="1"/>
    <col min="2575" max="2575" width="8.5" style="1" customWidth="1"/>
    <col min="2576" max="2576" width="11" style="1"/>
    <col min="2577" max="2577" width="10.125" style="1" bestFit="1" customWidth="1"/>
    <col min="2578" max="2816" width="11" style="1"/>
    <col min="2817" max="2817" width="16" style="1" customWidth="1"/>
    <col min="2818" max="2818" width="49.625" style="1" customWidth="1"/>
    <col min="2819" max="2819" width="15.25" style="1" customWidth="1"/>
    <col min="2820" max="2826" width="14.625" style="1" customWidth="1"/>
    <col min="2827" max="2827" width="0" style="1" hidden="1" customWidth="1"/>
    <col min="2828" max="2828" width="7.875" style="1" customWidth="1"/>
    <col min="2829" max="2829" width="17.375" style="1" customWidth="1"/>
    <col min="2830" max="2830" width="14.625" style="1" customWidth="1"/>
    <col min="2831" max="2831" width="8.5" style="1" customWidth="1"/>
    <col min="2832" max="2832" width="11" style="1"/>
    <col min="2833" max="2833" width="10.125" style="1" bestFit="1" customWidth="1"/>
    <col min="2834" max="3072" width="11" style="1"/>
    <col min="3073" max="3073" width="16" style="1" customWidth="1"/>
    <col min="3074" max="3074" width="49.625" style="1" customWidth="1"/>
    <col min="3075" max="3075" width="15.25" style="1" customWidth="1"/>
    <col min="3076" max="3082" width="14.625" style="1" customWidth="1"/>
    <col min="3083" max="3083" width="0" style="1" hidden="1" customWidth="1"/>
    <col min="3084" max="3084" width="7.875" style="1" customWidth="1"/>
    <col min="3085" max="3085" width="17.375" style="1" customWidth="1"/>
    <col min="3086" max="3086" width="14.625" style="1" customWidth="1"/>
    <col min="3087" max="3087" width="8.5" style="1" customWidth="1"/>
    <col min="3088" max="3088" width="11" style="1"/>
    <col min="3089" max="3089" width="10.125" style="1" bestFit="1" customWidth="1"/>
    <col min="3090" max="3328" width="11" style="1"/>
    <col min="3329" max="3329" width="16" style="1" customWidth="1"/>
    <col min="3330" max="3330" width="49.625" style="1" customWidth="1"/>
    <col min="3331" max="3331" width="15.25" style="1" customWidth="1"/>
    <col min="3332" max="3338" width="14.625" style="1" customWidth="1"/>
    <col min="3339" max="3339" width="0" style="1" hidden="1" customWidth="1"/>
    <col min="3340" max="3340" width="7.875" style="1" customWidth="1"/>
    <col min="3341" max="3341" width="17.375" style="1" customWidth="1"/>
    <col min="3342" max="3342" width="14.625" style="1" customWidth="1"/>
    <col min="3343" max="3343" width="8.5" style="1" customWidth="1"/>
    <col min="3344" max="3344" width="11" style="1"/>
    <col min="3345" max="3345" width="10.125" style="1" bestFit="1" customWidth="1"/>
    <col min="3346" max="3584" width="11" style="1"/>
    <col min="3585" max="3585" width="16" style="1" customWidth="1"/>
    <col min="3586" max="3586" width="49.625" style="1" customWidth="1"/>
    <col min="3587" max="3587" width="15.25" style="1" customWidth="1"/>
    <col min="3588" max="3594" width="14.625" style="1" customWidth="1"/>
    <col min="3595" max="3595" width="0" style="1" hidden="1" customWidth="1"/>
    <col min="3596" max="3596" width="7.875" style="1" customWidth="1"/>
    <col min="3597" max="3597" width="17.375" style="1" customWidth="1"/>
    <col min="3598" max="3598" width="14.625" style="1" customWidth="1"/>
    <col min="3599" max="3599" width="8.5" style="1" customWidth="1"/>
    <col min="3600" max="3600" width="11" style="1"/>
    <col min="3601" max="3601" width="10.125" style="1" bestFit="1" customWidth="1"/>
    <col min="3602" max="3840" width="11" style="1"/>
    <col min="3841" max="3841" width="16" style="1" customWidth="1"/>
    <col min="3842" max="3842" width="49.625" style="1" customWidth="1"/>
    <col min="3843" max="3843" width="15.25" style="1" customWidth="1"/>
    <col min="3844" max="3850" width="14.625" style="1" customWidth="1"/>
    <col min="3851" max="3851" width="0" style="1" hidden="1" customWidth="1"/>
    <col min="3852" max="3852" width="7.875" style="1" customWidth="1"/>
    <col min="3853" max="3853" width="17.375" style="1" customWidth="1"/>
    <col min="3854" max="3854" width="14.625" style="1" customWidth="1"/>
    <col min="3855" max="3855" width="8.5" style="1" customWidth="1"/>
    <col min="3856" max="3856" width="11" style="1"/>
    <col min="3857" max="3857" width="10.125" style="1" bestFit="1" customWidth="1"/>
    <col min="3858" max="4096" width="11" style="1"/>
    <col min="4097" max="4097" width="16" style="1" customWidth="1"/>
    <col min="4098" max="4098" width="49.625" style="1" customWidth="1"/>
    <col min="4099" max="4099" width="15.25" style="1" customWidth="1"/>
    <col min="4100" max="4106" width="14.625" style="1" customWidth="1"/>
    <col min="4107" max="4107" width="0" style="1" hidden="1" customWidth="1"/>
    <col min="4108" max="4108" width="7.875" style="1" customWidth="1"/>
    <col min="4109" max="4109" width="17.375" style="1" customWidth="1"/>
    <col min="4110" max="4110" width="14.625" style="1" customWidth="1"/>
    <col min="4111" max="4111" width="8.5" style="1" customWidth="1"/>
    <col min="4112" max="4112" width="11" style="1"/>
    <col min="4113" max="4113" width="10.125" style="1" bestFit="1" customWidth="1"/>
    <col min="4114" max="4352" width="11" style="1"/>
    <col min="4353" max="4353" width="16" style="1" customWidth="1"/>
    <col min="4354" max="4354" width="49.625" style="1" customWidth="1"/>
    <col min="4355" max="4355" width="15.25" style="1" customWidth="1"/>
    <col min="4356" max="4362" width="14.625" style="1" customWidth="1"/>
    <col min="4363" max="4363" width="0" style="1" hidden="1" customWidth="1"/>
    <col min="4364" max="4364" width="7.875" style="1" customWidth="1"/>
    <col min="4365" max="4365" width="17.375" style="1" customWidth="1"/>
    <col min="4366" max="4366" width="14.625" style="1" customWidth="1"/>
    <col min="4367" max="4367" width="8.5" style="1" customWidth="1"/>
    <col min="4368" max="4368" width="11" style="1"/>
    <col min="4369" max="4369" width="10.125" style="1" bestFit="1" customWidth="1"/>
    <col min="4370" max="4608" width="11" style="1"/>
    <col min="4609" max="4609" width="16" style="1" customWidth="1"/>
    <col min="4610" max="4610" width="49.625" style="1" customWidth="1"/>
    <col min="4611" max="4611" width="15.25" style="1" customWidth="1"/>
    <col min="4612" max="4618" width="14.625" style="1" customWidth="1"/>
    <col min="4619" max="4619" width="0" style="1" hidden="1" customWidth="1"/>
    <col min="4620" max="4620" width="7.875" style="1" customWidth="1"/>
    <col min="4621" max="4621" width="17.375" style="1" customWidth="1"/>
    <col min="4622" max="4622" width="14.625" style="1" customWidth="1"/>
    <col min="4623" max="4623" width="8.5" style="1" customWidth="1"/>
    <col min="4624" max="4624" width="11" style="1"/>
    <col min="4625" max="4625" width="10.125" style="1" bestFit="1" customWidth="1"/>
    <col min="4626" max="4864" width="11" style="1"/>
    <col min="4865" max="4865" width="16" style="1" customWidth="1"/>
    <col min="4866" max="4866" width="49.625" style="1" customWidth="1"/>
    <col min="4867" max="4867" width="15.25" style="1" customWidth="1"/>
    <col min="4868" max="4874" width="14.625" style="1" customWidth="1"/>
    <col min="4875" max="4875" width="0" style="1" hidden="1" customWidth="1"/>
    <col min="4876" max="4876" width="7.875" style="1" customWidth="1"/>
    <col min="4877" max="4877" width="17.375" style="1" customWidth="1"/>
    <col min="4878" max="4878" width="14.625" style="1" customWidth="1"/>
    <col min="4879" max="4879" width="8.5" style="1" customWidth="1"/>
    <col min="4880" max="4880" width="11" style="1"/>
    <col min="4881" max="4881" width="10.125" style="1" bestFit="1" customWidth="1"/>
    <col min="4882" max="5120" width="11" style="1"/>
    <col min="5121" max="5121" width="16" style="1" customWidth="1"/>
    <col min="5122" max="5122" width="49.625" style="1" customWidth="1"/>
    <col min="5123" max="5123" width="15.25" style="1" customWidth="1"/>
    <col min="5124" max="5130" width="14.625" style="1" customWidth="1"/>
    <col min="5131" max="5131" width="0" style="1" hidden="1" customWidth="1"/>
    <col min="5132" max="5132" width="7.875" style="1" customWidth="1"/>
    <col min="5133" max="5133" width="17.375" style="1" customWidth="1"/>
    <col min="5134" max="5134" width="14.625" style="1" customWidth="1"/>
    <col min="5135" max="5135" width="8.5" style="1" customWidth="1"/>
    <col min="5136" max="5136" width="11" style="1"/>
    <col min="5137" max="5137" width="10.125" style="1" bestFit="1" customWidth="1"/>
    <col min="5138" max="5376" width="11" style="1"/>
    <col min="5377" max="5377" width="16" style="1" customWidth="1"/>
    <col min="5378" max="5378" width="49.625" style="1" customWidth="1"/>
    <col min="5379" max="5379" width="15.25" style="1" customWidth="1"/>
    <col min="5380" max="5386" width="14.625" style="1" customWidth="1"/>
    <col min="5387" max="5387" width="0" style="1" hidden="1" customWidth="1"/>
    <col min="5388" max="5388" width="7.875" style="1" customWidth="1"/>
    <col min="5389" max="5389" width="17.375" style="1" customWidth="1"/>
    <col min="5390" max="5390" width="14.625" style="1" customWidth="1"/>
    <col min="5391" max="5391" width="8.5" style="1" customWidth="1"/>
    <col min="5392" max="5392" width="11" style="1"/>
    <col min="5393" max="5393" width="10.125" style="1" bestFit="1" customWidth="1"/>
    <col min="5394" max="5632" width="11" style="1"/>
    <col min="5633" max="5633" width="16" style="1" customWidth="1"/>
    <col min="5634" max="5634" width="49.625" style="1" customWidth="1"/>
    <col min="5635" max="5635" width="15.25" style="1" customWidth="1"/>
    <col min="5636" max="5642" width="14.625" style="1" customWidth="1"/>
    <col min="5643" max="5643" width="0" style="1" hidden="1" customWidth="1"/>
    <col min="5644" max="5644" width="7.875" style="1" customWidth="1"/>
    <col min="5645" max="5645" width="17.375" style="1" customWidth="1"/>
    <col min="5646" max="5646" width="14.625" style="1" customWidth="1"/>
    <col min="5647" max="5647" width="8.5" style="1" customWidth="1"/>
    <col min="5648" max="5648" width="11" style="1"/>
    <col min="5649" max="5649" width="10.125" style="1" bestFit="1" customWidth="1"/>
    <col min="5650" max="5888" width="11" style="1"/>
    <col min="5889" max="5889" width="16" style="1" customWidth="1"/>
    <col min="5890" max="5890" width="49.625" style="1" customWidth="1"/>
    <col min="5891" max="5891" width="15.25" style="1" customWidth="1"/>
    <col min="5892" max="5898" width="14.625" style="1" customWidth="1"/>
    <col min="5899" max="5899" width="0" style="1" hidden="1" customWidth="1"/>
    <col min="5900" max="5900" width="7.875" style="1" customWidth="1"/>
    <col min="5901" max="5901" width="17.375" style="1" customWidth="1"/>
    <col min="5902" max="5902" width="14.625" style="1" customWidth="1"/>
    <col min="5903" max="5903" width="8.5" style="1" customWidth="1"/>
    <col min="5904" max="5904" width="11" style="1"/>
    <col min="5905" max="5905" width="10.125" style="1" bestFit="1" customWidth="1"/>
    <col min="5906" max="6144" width="11" style="1"/>
    <col min="6145" max="6145" width="16" style="1" customWidth="1"/>
    <col min="6146" max="6146" width="49.625" style="1" customWidth="1"/>
    <col min="6147" max="6147" width="15.25" style="1" customWidth="1"/>
    <col min="6148" max="6154" width="14.625" style="1" customWidth="1"/>
    <col min="6155" max="6155" width="0" style="1" hidden="1" customWidth="1"/>
    <col min="6156" max="6156" width="7.875" style="1" customWidth="1"/>
    <col min="6157" max="6157" width="17.375" style="1" customWidth="1"/>
    <col min="6158" max="6158" width="14.625" style="1" customWidth="1"/>
    <col min="6159" max="6159" width="8.5" style="1" customWidth="1"/>
    <col min="6160" max="6160" width="11" style="1"/>
    <col min="6161" max="6161" width="10.125" style="1" bestFit="1" customWidth="1"/>
    <col min="6162" max="6400" width="11" style="1"/>
    <col min="6401" max="6401" width="16" style="1" customWidth="1"/>
    <col min="6402" max="6402" width="49.625" style="1" customWidth="1"/>
    <col min="6403" max="6403" width="15.25" style="1" customWidth="1"/>
    <col min="6404" max="6410" width="14.625" style="1" customWidth="1"/>
    <col min="6411" max="6411" width="0" style="1" hidden="1" customWidth="1"/>
    <col min="6412" max="6412" width="7.875" style="1" customWidth="1"/>
    <col min="6413" max="6413" width="17.375" style="1" customWidth="1"/>
    <col min="6414" max="6414" width="14.625" style="1" customWidth="1"/>
    <col min="6415" max="6415" width="8.5" style="1" customWidth="1"/>
    <col min="6416" max="6416" width="11" style="1"/>
    <col min="6417" max="6417" width="10.125" style="1" bestFit="1" customWidth="1"/>
    <col min="6418" max="6656" width="11" style="1"/>
    <col min="6657" max="6657" width="16" style="1" customWidth="1"/>
    <col min="6658" max="6658" width="49.625" style="1" customWidth="1"/>
    <col min="6659" max="6659" width="15.25" style="1" customWidth="1"/>
    <col min="6660" max="6666" width="14.625" style="1" customWidth="1"/>
    <col min="6667" max="6667" width="0" style="1" hidden="1" customWidth="1"/>
    <col min="6668" max="6668" width="7.875" style="1" customWidth="1"/>
    <col min="6669" max="6669" width="17.375" style="1" customWidth="1"/>
    <col min="6670" max="6670" width="14.625" style="1" customWidth="1"/>
    <col min="6671" max="6671" width="8.5" style="1" customWidth="1"/>
    <col min="6672" max="6672" width="11" style="1"/>
    <col min="6673" max="6673" width="10.125" style="1" bestFit="1" customWidth="1"/>
    <col min="6674" max="6912" width="11" style="1"/>
    <col min="6913" max="6913" width="16" style="1" customWidth="1"/>
    <col min="6914" max="6914" width="49.625" style="1" customWidth="1"/>
    <col min="6915" max="6915" width="15.25" style="1" customWidth="1"/>
    <col min="6916" max="6922" width="14.625" style="1" customWidth="1"/>
    <col min="6923" max="6923" width="0" style="1" hidden="1" customWidth="1"/>
    <col min="6924" max="6924" width="7.875" style="1" customWidth="1"/>
    <col min="6925" max="6925" width="17.375" style="1" customWidth="1"/>
    <col min="6926" max="6926" width="14.625" style="1" customWidth="1"/>
    <col min="6927" max="6927" width="8.5" style="1" customWidth="1"/>
    <col min="6928" max="6928" width="11" style="1"/>
    <col min="6929" max="6929" width="10.125" style="1" bestFit="1" customWidth="1"/>
    <col min="6930" max="7168" width="11" style="1"/>
    <col min="7169" max="7169" width="16" style="1" customWidth="1"/>
    <col min="7170" max="7170" width="49.625" style="1" customWidth="1"/>
    <col min="7171" max="7171" width="15.25" style="1" customWidth="1"/>
    <col min="7172" max="7178" width="14.625" style="1" customWidth="1"/>
    <col min="7179" max="7179" width="0" style="1" hidden="1" customWidth="1"/>
    <col min="7180" max="7180" width="7.875" style="1" customWidth="1"/>
    <col min="7181" max="7181" width="17.375" style="1" customWidth="1"/>
    <col min="7182" max="7182" width="14.625" style="1" customWidth="1"/>
    <col min="7183" max="7183" width="8.5" style="1" customWidth="1"/>
    <col min="7184" max="7184" width="11" style="1"/>
    <col min="7185" max="7185" width="10.125" style="1" bestFit="1" customWidth="1"/>
    <col min="7186" max="7424" width="11" style="1"/>
    <col min="7425" max="7425" width="16" style="1" customWidth="1"/>
    <col min="7426" max="7426" width="49.625" style="1" customWidth="1"/>
    <col min="7427" max="7427" width="15.25" style="1" customWidth="1"/>
    <col min="7428" max="7434" width="14.625" style="1" customWidth="1"/>
    <col min="7435" max="7435" width="0" style="1" hidden="1" customWidth="1"/>
    <col min="7436" max="7436" width="7.875" style="1" customWidth="1"/>
    <col min="7437" max="7437" width="17.375" style="1" customWidth="1"/>
    <col min="7438" max="7438" width="14.625" style="1" customWidth="1"/>
    <col min="7439" max="7439" width="8.5" style="1" customWidth="1"/>
    <col min="7440" max="7440" width="11" style="1"/>
    <col min="7441" max="7441" width="10.125" style="1" bestFit="1" customWidth="1"/>
    <col min="7442" max="7680" width="11" style="1"/>
    <col min="7681" max="7681" width="16" style="1" customWidth="1"/>
    <col min="7682" max="7682" width="49.625" style="1" customWidth="1"/>
    <col min="7683" max="7683" width="15.25" style="1" customWidth="1"/>
    <col min="7684" max="7690" width="14.625" style="1" customWidth="1"/>
    <col min="7691" max="7691" width="0" style="1" hidden="1" customWidth="1"/>
    <col min="7692" max="7692" width="7.875" style="1" customWidth="1"/>
    <col min="7693" max="7693" width="17.375" style="1" customWidth="1"/>
    <col min="7694" max="7694" width="14.625" style="1" customWidth="1"/>
    <col min="7695" max="7695" width="8.5" style="1" customWidth="1"/>
    <col min="7696" max="7696" width="11" style="1"/>
    <col min="7697" max="7697" width="10.125" style="1" bestFit="1" customWidth="1"/>
    <col min="7698" max="7936" width="11" style="1"/>
    <col min="7937" max="7937" width="16" style="1" customWidth="1"/>
    <col min="7938" max="7938" width="49.625" style="1" customWidth="1"/>
    <col min="7939" max="7939" width="15.25" style="1" customWidth="1"/>
    <col min="7940" max="7946" width="14.625" style="1" customWidth="1"/>
    <col min="7947" max="7947" width="0" style="1" hidden="1" customWidth="1"/>
    <col min="7948" max="7948" width="7.875" style="1" customWidth="1"/>
    <col min="7949" max="7949" width="17.375" style="1" customWidth="1"/>
    <col min="7950" max="7950" width="14.625" style="1" customWidth="1"/>
    <col min="7951" max="7951" width="8.5" style="1" customWidth="1"/>
    <col min="7952" max="7952" width="11" style="1"/>
    <col min="7953" max="7953" width="10.125" style="1" bestFit="1" customWidth="1"/>
    <col min="7954" max="8192" width="11" style="1"/>
    <col min="8193" max="8193" width="16" style="1" customWidth="1"/>
    <col min="8194" max="8194" width="49.625" style="1" customWidth="1"/>
    <col min="8195" max="8195" width="15.25" style="1" customWidth="1"/>
    <col min="8196" max="8202" width="14.625" style="1" customWidth="1"/>
    <col min="8203" max="8203" width="0" style="1" hidden="1" customWidth="1"/>
    <col min="8204" max="8204" width="7.875" style="1" customWidth="1"/>
    <col min="8205" max="8205" width="17.375" style="1" customWidth="1"/>
    <col min="8206" max="8206" width="14.625" style="1" customWidth="1"/>
    <col min="8207" max="8207" width="8.5" style="1" customWidth="1"/>
    <col min="8208" max="8208" width="11" style="1"/>
    <col min="8209" max="8209" width="10.125" style="1" bestFit="1" customWidth="1"/>
    <col min="8210" max="8448" width="11" style="1"/>
    <col min="8449" max="8449" width="16" style="1" customWidth="1"/>
    <col min="8450" max="8450" width="49.625" style="1" customWidth="1"/>
    <col min="8451" max="8451" width="15.25" style="1" customWidth="1"/>
    <col min="8452" max="8458" width="14.625" style="1" customWidth="1"/>
    <col min="8459" max="8459" width="0" style="1" hidden="1" customWidth="1"/>
    <col min="8460" max="8460" width="7.875" style="1" customWidth="1"/>
    <col min="8461" max="8461" width="17.375" style="1" customWidth="1"/>
    <col min="8462" max="8462" width="14.625" style="1" customWidth="1"/>
    <col min="8463" max="8463" width="8.5" style="1" customWidth="1"/>
    <col min="8464" max="8464" width="11" style="1"/>
    <col min="8465" max="8465" width="10.125" style="1" bestFit="1" customWidth="1"/>
    <col min="8466" max="8704" width="11" style="1"/>
    <col min="8705" max="8705" width="16" style="1" customWidth="1"/>
    <col min="8706" max="8706" width="49.625" style="1" customWidth="1"/>
    <col min="8707" max="8707" width="15.25" style="1" customWidth="1"/>
    <col min="8708" max="8714" width="14.625" style="1" customWidth="1"/>
    <col min="8715" max="8715" width="0" style="1" hidden="1" customWidth="1"/>
    <col min="8716" max="8716" width="7.875" style="1" customWidth="1"/>
    <col min="8717" max="8717" width="17.375" style="1" customWidth="1"/>
    <col min="8718" max="8718" width="14.625" style="1" customWidth="1"/>
    <col min="8719" max="8719" width="8.5" style="1" customWidth="1"/>
    <col min="8720" max="8720" width="11" style="1"/>
    <col min="8721" max="8721" width="10.125" style="1" bestFit="1" customWidth="1"/>
    <col min="8722" max="8960" width="11" style="1"/>
    <col min="8961" max="8961" width="16" style="1" customWidth="1"/>
    <col min="8962" max="8962" width="49.625" style="1" customWidth="1"/>
    <col min="8963" max="8963" width="15.25" style="1" customWidth="1"/>
    <col min="8964" max="8970" width="14.625" style="1" customWidth="1"/>
    <col min="8971" max="8971" width="0" style="1" hidden="1" customWidth="1"/>
    <col min="8972" max="8972" width="7.875" style="1" customWidth="1"/>
    <col min="8973" max="8973" width="17.375" style="1" customWidth="1"/>
    <col min="8974" max="8974" width="14.625" style="1" customWidth="1"/>
    <col min="8975" max="8975" width="8.5" style="1" customWidth="1"/>
    <col min="8976" max="8976" width="11" style="1"/>
    <col min="8977" max="8977" width="10.125" style="1" bestFit="1" customWidth="1"/>
    <col min="8978" max="9216" width="11" style="1"/>
    <col min="9217" max="9217" width="16" style="1" customWidth="1"/>
    <col min="9218" max="9218" width="49.625" style="1" customWidth="1"/>
    <col min="9219" max="9219" width="15.25" style="1" customWidth="1"/>
    <col min="9220" max="9226" width="14.625" style="1" customWidth="1"/>
    <col min="9227" max="9227" width="0" style="1" hidden="1" customWidth="1"/>
    <col min="9228" max="9228" width="7.875" style="1" customWidth="1"/>
    <col min="9229" max="9229" width="17.375" style="1" customWidth="1"/>
    <col min="9230" max="9230" width="14.625" style="1" customWidth="1"/>
    <col min="9231" max="9231" width="8.5" style="1" customWidth="1"/>
    <col min="9232" max="9232" width="11" style="1"/>
    <col min="9233" max="9233" width="10.125" style="1" bestFit="1" customWidth="1"/>
    <col min="9234" max="9472" width="11" style="1"/>
    <col min="9473" max="9473" width="16" style="1" customWidth="1"/>
    <col min="9474" max="9474" width="49.625" style="1" customWidth="1"/>
    <col min="9475" max="9475" width="15.25" style="1" customWidth="1"/>
    <col min="9476" max="9482" width="14.625" style="1" customWidth="1"/>
    <col min="9483" max="9483" width="0" style="1" hidden="1" customWidth="1"/>
    <col min="9484" max="9484" width="7.875" style="1" customWidth="1"/>
    <col min="9485" max="9485" width="17.375" style="1" customWidth="1"/>
    <col min="9486" max="9486" width="14.625" style="1" customWidth="1"/>
    <col min="9487" max="9487" width="8.5" style="1" customWidth="1"/>
    <col min="9488" max="9488" width="11" style="1"/>
    <col min="9489" max="9489" width="10.125" style="1" bestFit="1" customWidth="1"/>
    <col min="9490" max="9728" width="11" style="1"/>
    <col min="9729" max="9729" width="16" style="1" customWidth="1"/>
    <col min="9730" max="9730" width="49.625" style="1" customWidth="1"/>
    <col min="9731" max="9731" width="15.25" style="1" customWidth="1"/>
    <col min="9732" max="9738" width="14.625" style="1" customWidth="1"/>
    <col min="9739" max="9739" width="0" style="1" hidden="1" customWidth="1"/>
    <col min="9740" max="9740" width="7.875" style="1" customWidth="1"/>
    <col min="9741" max="9741" width="17.375" style="1" customWidth="1"/>
    <col min="9742" max="9742" width="14.625" style="1" customWidth="1"/>
    <col min="9743" max="9743" width="8.5" style="1" customWidth="1"/>
    <col min="9744" max="9744" width="11" style="1"/>
    <col min="9745" max="9745" width="10.125" style="1" bestFit="1" customWidth="1"/>
    <col min="9746" max="9984" width="11" style="1"/>
    <col min="9985" max="9985" width="16" style="1" customWidth="1"/>
    <col min="9986" max="9986" width="49.625" style="1" customWidth="1"/>
    <col min="9987" max="9987" width="15.25" style="1" customWidth="1"/>
    <col min="9988" max="9994" width="14.625" style="1" customWidth="1"/>
    <col min="9995" max="9995" width="0" style="1" hidden="1" customWidth="1"/>
    <col min="9996" max="9996" width="7.875" style="1" customWidth="1"/>
    <col min="9997" max="9997" width="17.375" style="1" customWidth="1"/>
    <col min="9998" max="9998" width="14.625" style="1" customWidth="1"/>
    <col min="9999" max="9999" width="8.5" style="1" customWidth="1"/>
    <col min="10000" max="10000" width="11" style="1"/>
    <col min="10001" max="10001" width="10.125" style="1" bestFit="1" customWidth="1"/>
    <col min="10002" max="10240" width="11" style="1"/>
    <col min="10241" max="10241" width="16" style="1" customWidth="1"/>
    <col min="10242" max="10242" width="49.625" style="1" customWidth="1"/>
    <col min="10243" max="10243" width="15.25" style="1" customWidth="1"/>
    <col min="10244" max="10250" width="14.625" style="1" customWidth="1"/>
    <col min="10251" max="10251" width="0" style="1" hidden="1" customWidth="1"/>
    <col min="10252" max="10252" width="7.875" style="1" customWidth="1"/>
    <col min="10253" max="10253" width="17.375" style="1" customWidth="1"/>
    <col min="10254" max="10254" width="14.625" style="1" customWidth="1"/>
    <col min="10255" max="10255" width="8.5" style="1" customWidth="1"/>
    <col min="10256" max="10256" width="11" style="1"/>
    <col min="10257" max="10257" width="10.125" style="1" bestFit="1" customWidth="1"/>
    <col min="10258" max="10496" width="11" style="1"/>
    <col min="10497" max="10497" width="16" style="1" customWidth="1"/>
    <col min="10498" max="10498" width="49.625" style="1" customWidth="1"/>
    <col min="10499" max="10499" width="15.25" style="1" customWidth="1"/>
    <col min="10500" max="10506" width="14.625" style="1" customWidth="1"/>
    <col min="10507" max="10507" width="0" style="1" hidden="1" customWidth="1"/>
    <col min="10508" max="10508" width="7.875" style="1" customWidth="1"/>
    <col min="10509" max="10509" width="17.375" style="1" customWidth="1"/>
    <col min="10510" max="10510" width="14.625" style="1" customWidth="1"/>
    <col min="10511" max="10511" width="8.5" style="1" customWidth="1"/>
    <col min="10512" max="10512" width="11" style="1"/>
    <col min="10513" max="10513" width="10.125" style="1" bestFit="1" customWidth="1"/>
    <col min="10514" max="10752" width="11" style="1"/>
    <col min="10753" max="10753" width="16" style="1" customWidth="1"/>
    <col min="10754" max="10754" width="49.625" style="1" customWidth="1"/>
    <col min="10755" max="10755" width="15.25" style="1" customWidth="1"/>
    <col min="10756" max="10762" width="14.625" style="1" customWidth="1"/>
    <col min="10763" max="10763" width="0" style="1" hidden="1" customWidth="1"/>
    <col min="10764" max="10764" width="7.875" style="1" customWidth="1"/>
    <col min="10765" max="10765" width="17.375" style="1" customWidth="1"/>
    <col min="10766" max="10766" width="14.625" style="1" customWidth="1"/>
    <col min="10767" max="10767" width="8.5" style="1" customWidth="1"/>
    <col min="10768" max="10768" width="11" style="1"/>
    <col min="10769" max="10769" width="10.125" style="1" bestFit="1" customWidth="1"/>
    <col min="10770" max="11008" width="11" style="1"/>
    <col min="11009" max="11009" width="16" style="1" customWidth="1"/>
    <col min="11010" max="11010" width="49.625" style="1" customWidth="1"/>
    <col min="11011" max="11011" width="15.25" style="1" customWidth="1"/>
    <col min="11012" max="11018" width="14.625" style="1" customWidth="1"/>
    <col min="11019" max="11019" width="0" style="1" hidden="1" customWidth="1"/>
    <col min="11020" max="11020" width="7.875" style="1" customWidth="1"/>
    <col min="11021" max="11021" width="17.375" style="1" customWidth="1"/>
    <col min="11022" max="11022" width="14.625" style="1" customWidth="1"/>
    <col min="11023" max="11023" width="8.5" style="1" customWidth="1"/>
    <col min="11024" max="11024" width="11" style="1"/>
    <col min="11025" max="11025" width="10.125" style="1" bestFit="1" customWidth="1"/>
    <col min="11026" max="11264" width="11" style="1"/>
    <col min="11265" max="11265" width="16" style="1" customWidth="1"/>
    <col min="11266" max="11266" width="49.625" style="1" customWidth="1"/>
    <col min="11267" max="11267" width="15.25" style="1" customWidth="1"/>
    <col min="11268" max="11274" width="14.625" style="1" customWidth="1"/>
    <col min="11275" max="11275" width="0" style="1" hidden="1" customWidth="1"/>
    <col min="11276" max="11276" width="7.875" style="1" customWidth="1"/>
    <col min="11277" max="11277" width="17.375" style="1" customWidth="1"/>
    <col min="11278" max="11278" width="14.625" style="1" customWidth="1"/>
    <col min="11279" max="11279" width="8.5" style="1" customWidth="1"/>
    <col min="11280" max="11280" width="11" style="1"/>
    <col min="11281" max="11281" width="10.125" style="1" bestFit="1" customWidth="1"/>
    <col min="11282" max="11520" width="11" style="1"/>
    <col min="11521" max="11521" width="16" style="1" customWidth="1"/>
    <col min="11522" max="11522" width="49.625" style="1" customWidth="1"/>
    <col min="11523" max="11523" width="15.25" style="1" customWidth="1"/>
    <col min="11524" max="11530" width="14.625" style="1" customWidth="1"/>
    <col min="11531" max="11531" width="0" style="1" hidden="1" customWidth="1"/>
    <col min="11532" max="11532" width="7.875" style="1" customWidth="1"/>
    <col min="11533" max="11533" width="17.375" style="1" customWidth="1"/>
    <col min="11534" max="11534" width="14.625" style="1" customWidth="1"/>
    <col min="11535" max="11535" width="8.5" style="1" customWidth="1"/>
    <col min="11536" max="11536" width="11" style="1"/>
    <col min="11537" max="11537" width="10.125" style="1" bestFit="1" customWidth="1"/>
    <col min="11538" max="11776" width="11" style="1"/>
    <col min="11777" max="11777" width="16" style="1" customWidth="1"/>
    <col min="11778" max="11778" width="49.625" style="1" customWidth="1"/>
    <col min="11779" max="11779" width="15.25" style="1" customWidth="1"/>
    <col min="11780" max="11786" width="14.625" style="1" customWidth="1"/>
    <col min="11787" max="11787" width="0" style="1" hidden="1" customWidth="1"/>
    <col min="11788" max="11788" width="7.875" style="1" customWidth="1"/>
    <col min="11789" max="11789" width="17.375" style="1" customWidth="1"/>
    <col min="11790" max="11790" width="14.625" style="1" customWidth="1"/>
    <col min="11791" max="11791" width="8.5" style="1" customWidth="1"/>
    <col min="11792" max="11792" width="11" style="1"/>
    <col min="11793" max="11793" width="10.125" style="1" bestFit="1" customWidth="1"/>
    <col min="11794" max="12032" width="11" style="1"/>
    <col min="12033" max="12033" width="16" style="1" customWidth="1"/>
    <col min="12034" max="12034" width="49.625" style="1" customWidth="1"/>
    <col min="12035" max="12035" width="15.25" style="1" customWidth="1"/>
    <col min="12036" max="12042" width="14.625" style="1" customWidth="1"/>
    <col min="12043" max="12043" width="0" style="1" hidden="1" customWidth="1"/>
    <col min="12044" max="12044" width="7.875" style="1" customWidth="1"/>
    <col min="12045" max="12045" width="17.375" style="1" customWidth="1"/>
    <col min="12046" max="12046" width="14.625" style="1" customWidth="1"/>
    <col min="12047" max="12047" width="8.5" style="1" customWidth="1"/>
    <col min="12048" max="12048" width="11" style="1"/>
    <col min="12049" max="12049" width="10.125" style="1" bestFit="1" customWidth="1"/>
    <col min="12050" max="12288" width="11" style="1"/>
    <col min="12289" max="12289" width="16" style="1" customWidth="1"/>
    <col min="12290" max="12290" width="49.625" style="1" customWidth="1"/>
    <col min="12291" max="12291" width="15.25" style="1" customWidth="1"/>
    <col min="12292" max="12298" width="14.625" style="1" customWidth="1"/>
    <col min="12299" max="12299" width="0" style="1" hidden="1" customWidth="1"/>
    <col min="12300" max="12300" width="7.875" style="1" customWidth="1"/>
    <col min="12301" max="12301" width="17.375" style="1" customWidth="1"/>
    <col min="12302" max="12302" width="14.625" style="1" customWidth="1"/>
    <col min="12303" max="12303" width="8.5" style="1" customWidth="1"/>
    <col min="12304" max="12304" width="11" style="1"/>
    <col min="12305" max="12305" width="10.125" style="1" bestFit="1" customWidth="1"/>
    <col min="12306" max="12544" width="11" style="1"/>
    <col min="12545" max="12545" width="16" style="1" customWidth="1"/>
    <col min="12546" max="12546" width="49.625" style="1" customWidth="1"/>
    <col min="12547" max="12547" width="15.25" style="1" customWidth="1"/>
    <col min="12548" max="12554" width="14.625" style="1" customWidth="1"/>
    <col min="12555" max="12555" width="0" style="1" hidden="1" customWidth="1"/>
    <col min="12556" max="12556" width="7.875" style="1" customWidth="1"/>
    <col min="12557" max="12557" width="17.375" style="1" customWidth="1"/>
    <col min="12558" max="12558" width="14.625" style="1" customWidth="1"/>
    <col min="12559" max="12559" width="8.5" style="1" customWidth="1"/>
    <col min="12560" max="12560" width="11" style="1"/>
    <col min="12561" max="12561" width="10.125" style="1" bestFit="1" customWidth="1"/>
    <col min="12562" max="12800" width="11" style="1"/>
    <col min="12801" max="12801" width="16" style="1" customWidth="1"/>
    <col min="12802" max="12802" width="49.625" style="1" customWidth="1"/>
    <col min="12803" max="12803" width="15.25" style="1" customWidth="1"/>
    <col min="12804" max="12810" width="14.625" style="1" customWidth="1"/>
    <col min="12811" max="12811" width="0" style="1" hidden="1" customWidth="1"/>
    <col min="12812" max="12812" width="7.875" style="1" customWidth="1"/>
    <col min="12813" max="12813" width="17.375" style="1" customWidth="1"/>
    <col min="12814" max="12814" width="14.625" style="1" customWidth="1"/>
    <col min="12815" max="12815" width="8.5" style="1" customWidth="1"/>
    <col min="12816" max="12816" width="11" style="1"/>
    <col min="12817" max="12817" width="10.125" style="1" bestFit="1" customWidth="1"/>
    <col min="12818" max="13056" width="11" style="1"/>
    <col min="13057" max="13057" width="16" style="1" customWidth="1"/>
    <col min="13058" max="13058" width="49.625" style="1" customWidth="1"/>
    <col min="13059" max="13059" width="15.25" style="1" customWidth="1"/>
    <col min="13060" max="13066" width="14.625" style="1" customWidth="1"/>
    <col min="13067" max="13067" width="0" style="1" hidden="1" customWidth="1"/>
    <col min="13068" max="13068" width="7.875" style="1" customWidth="1"/>
    <col min="13069" max="13069" width="17.375" style="1" customWidth="1"/>
    <col min="13070" max="13070" width="14.625" style="1" customWidth="1"/>
    <col min="13071" max="13071" width="8.5" style="1" customWidth="1"/>
    <col min="13072" max="13072" width="11" style="1"/>
    <col min="13073" max="13073" width="10.125" style="1" bestFit="1" customWidth="1"/>
    <col min="13074" max="13312" width="11" style="1"/>
    <col min="13313" max="13313" width="16" style="1" customWidth="1"/>
    <col min="13314" max="13314" width="49.625" style="1" customWidth="1"/>
    <col min="13315" max="13315" width="15.25" style="1" customWidth="1"/>
    <col min="13316" max="13322" width="14.625" style="1" customWidth="1"/>
    <col min="13323" max="13323" width="0" style="1" hidden="1" customWidth="1"/>
    <col min="13324" max="13324" width="7.875" style="1" customWidth="1"/>
    <col min="13325" max="13325" width="17.375" style="1" customWidth="1"/>
    <col min="13326" max="13326" width="14.625" style="1" customWidth="1"/>
    <col min="13327" max="13327" width="8.5" style="1" customWidth="1"/>
    <col min="13328" max="13328" width="11" style="1"/>
    <col min="13329" max="13329" width="10.125" style="1" bestFit="1" customWidth="1"/>
    <col min="13330" max="13568" width="11" style="1"/>
    <col min="13569" max="13569" width="16" style="1" customWidth="1"/>
    <col min="13570" max="13570" width="49.625" style="1" customWidth="1"/>
    <col min="13571" max="13571" width="15.25" style="1" customWidth="1"/>
    <col min="13572" max="13578" width="14.625" style="1" customWidth="1"/>
    <col min="13579" max="13579" width="0" style="1" hidden="1" customWidth="1"/>
    <col min="13580" max="13580" width="7.875" style="1" customWidth="1"/>
    <col min="13581" max="13581" width="17.375" style="1" customWidth="1"/>
    <col min="13582" max="13582" width="14.625" style="1" customWidth="1"/>
    <col min="13583" max="13583" width="8.5" style="1" customWidth="1"/>
    <col min="13584" max="13584" width="11" style="1"/>
    <col min="13585" max="13585" width="10.125" style="1" bestFit="1" customWidth="1"/>
    <col min="13586" max="13824" width="11" style="1"/>
    <col min="13825" max="13825" width="16" style="1" customWidth="1"/>
    <col min="13826" max="13826" width="49.625" style="1" customWidth="1"/>
    <col min="13827" max="13827" width="15.25" style="1" customWidth="1"/>
    <col min="13828" max="13834" width="14.625" style="1" customWidth="1"/>
    <col min="13835" max="13835" width="0" style="1" hidden="1" customWidth="1"/>
    <col min="13836" max="13836" width="7.875" style="1" customWidth="1"/>
    <col min="13837" max="13837" width="17.375" style="1" customWidth="1"/>
    <col min="13838" max="13838" width="14.625" style="1" customWidth="1"/>
    <col min="13839" max="13839" width="8.5" style="1" customWidth="1"/>
    <col min="13840" max="13840" width="11" style="1"/>
    <col min="13841" max="13841" width="10.125" style="1" bestFit="1" customWidth="1"/>
    <col min="13842" max="14080" width="11" style="1"/>
    <col min="14081" max="14081" width="16" style="1" customWidth="1"/>
    <col min="14082" max="14082" width="49.625" style="1" customWidth="1"/>
    <col min="14083" max="14083" width="15.25" style="1" customWidth="1"/>
    <col min="14084" max="14090" width="14.625" style="1" customWidth="1"/>
    <col min="14091" max="14091" width="0" style="1" hidden="1" customWidth="1"/>
    <col min="14092" max="14092" width="7.875" style="1" customWidth="1"/>
    <col min="14093" max="14093" width="17.375" style="1" customWidth="1"/>
    <col min="14094" max="14094" width="14.625" style="1" customWidth="1"/>
    <col min="14095" max="14095" width="8.5" style="1" customWidth="1"/>
    <col min="14096" max="14096" width="11" style="1"/>
    <col min="14097" max="14097" width="10.125" style="1" bestFit="1" customWidth="1"/>
    <col min="14098" max="14336" width="11" style="1"/>
    <col min="14337" max="14337" width="16" style="1" customWidth="1"/>
    <col min="14338" max="14338" width="49.625" style="1" customWidth="1"/>
    <col min="14339" max="14339" width="15.25" style="1" customWidth="1"/>
    <col min="14340" max="14346" width="14.625" style="1" customWidth="1"/>
    <col min="14347" max="14347" width="0" style="1" hidden="1" customWidth="1"/>
    <col min="14348" max="14348" width="7.875" style="1" customWidth="1"/>
    <col min="14349" max="14349" width="17.375" style="1" customWidth="1"/>
    <col min="14350" max="14350" width="14.625" style="1" customWidth="1"/>
    <col min="14351" max="14351" width="8.5" style="1" customWidth="1"/>
    <col min="14352" max="14352" width="11" style="1"/>
    <col min="14353" max="14353" width="10.125" style="1" bestFit="1" customWidth="1"/>
    <col min="14354" max="14592" width="11" style="1"/>
    <col min="14593" max="14593" width="16" style="1" customWidth="1"/>
    <col min="14594" max="14594" width="49.625" style="1" customWidth="1"/>
    <col min="14595" max="14595" width="15.25" style="1" customWidth="1"/>
    <col min="14596" max="14602" width="14.625" style="1" customWidth="1"/>
    <col min="14603" max="14603" width="0" style="1" hidden="1" customWidth="1"/>
    <col min="14604" max="14604" width="7.875" style="1" customWidth="1"/>
    <col min="14605" max="14605" width="17.375" style="1" customWidth="1"/>
    <col min="14606" max="14606" width="14.625" style="1" customWidth="1"/>
    <col min="14607" max="14607" width="8.5" style="1" customWidth="1"/>
    <col min="14608" max="14608" width="11" style="1"/>
    <col min="14609" max="14609" width="10.125" style="1" bestFit="1" customWidth="1"/>
    <col min="14610" max="14848" width="11" style="1"/>
    <col min="14849" max="14849" width="16" style="1" customWidth="1"/>
    <col min="14850" max="14850" width="49.625" style="1" customWidth="1"/>
    <col min="14851" max="14851" width="15.25" style="1" customWidth="1"/>
    <col min="14852" max="14858" width="14.625" style="1" customWidth="1"/>
    <col min="14859" max="14859" width="0" style="1" hidden="1" customWidth="1"/>
    <col min="14860" max="14860" width="7.875" style="1" customWidth="1"/>
    <col min="14861" max="14861" width="17.375" style="1" customWidth="1"/>
    <col min="14862" max="14862" width="14.625" style="1" customWidth="1"/>
    <col min="14863" max="14863" width="8.5" style="1" customWidth="1"/>
    <col min="14864" max="14864" width="11" style="1"/>
    <col min="14865" max="14865" width="10.125" style="1" bestFit="1" customWidth="1"/>
    <col min="14866" max="15104" width="11" style="1"/>
    <col min="15105" max="15105" width="16" style="1" customWidth="1"/>
    <col min="15106" max="15106" width="49.625" style="1" customWidth="1"/>
    <col min="15107" max="15107" width="15.25" style="1" customWidth="1"/>
    <col min="15108" max="15114" width="14.625" style="1" customWidth="1"/>
    <col min="15115" max="15115" width="0" style="1" hidden="1" customWidth="1"/>
    <col min="15116" max="15116" width="7.875" style="1" customWidth="1"/>
    <col min="15117" max="15117" width="17.375" style="1" customWidth="1"/>
    <col min="15118" max="15118" width="14.625" style="1" customWidth="1"/>
    <col min="15119" max="15119" width="8.5" style="1" customWidth="1"/>
    <col min="15120" max="15120" width="11" style="1"/>
    <col min="15121" max="15121" width="10.125" style="1" bestFit="1" customWidth="1"/>
    <col min="15122" max="15360" width="11" style="1"/>
    <col min="15361" max="15361" width="16" style="1" customWidth="1"/>
    <col min="15362" max="15362" width="49.625" style="1" customWidth="1"/>
    <col min="15363" max="15363" width="15.25" style="1" customWidth="1"/>
    <col min="15364" max="15370" width="14.625" style="1" customWidth="1"/>
    <col min="15371" max="15371" width="0" style="1" hidden="1" customWidth="1"/>
    <col min="15372" max="15372" width="7.875" style="1" customWidth="1"/>
    <col min="15373" max="15373" width="17.375" style="1" customWidth="1"/>
    <col min="15374" max="15374" width="14.625" style="1" customWidth="1"/>
    <col min="15375" max="15375" width="8.5" style="1" customWidth="1"/>
    <col min="15376" max="15376" width="11" style="1"/>
    <col min="15377" max="15377" width="10.125" style="1" bestFit="1" customWidth="1"/>
    <col min="15378" max="15616" width="11" style="1"/>
    <col min="15617" max="15617" width="16" style="1" customWidth="1"/>
    <col min="15618" max="15618" width="49.625" style="1" customWidth="1"/>
    <col min="15619" max="15619" width="15.25" style="1" customWidth="1"/>
    <col min="15620" max="15626" width="14.625" style="1" customWidth="1"/>
    <col min="15627" max="15627" width="0" style="1" hidden="1" customWidth="1"/>
    <col min="15628" max="15628" width="7.875" style="1" customWidth="1"/>
    <col min="15629" max="15629" width="17.375" style="1" customWidth="1"/>
    <col min="15630" max="15630" width="14.625" style="1" customWidth="1"/>
    <col min="15631" max="15631" width="8.5" style="1" customWidth="1"/>
    <col min="15632" max="15632" width="11" style="1"/>
    <col min="15633" max="15633" width="10.125" style="1" bestFit="1" customWidth="1"/>
    <col min="15634" max="15872" width="11" style="1"/>
    <col min="15873" max="15873" width="16" style="1" customWidth="1"/>
    <col min="15874" max="15874" width="49.625" style="1" customWidth="1"/>
    <col min="15875" max="15875" width="15.25" style="1" customWidth="1"/>
    <col min="15876" max="15882" width="14.625" style="1" customWidth="1"/>
    <col min="15883" max="15883" width="0" style="1" hidden="1" customWidth="1"/>
    <col min="15884" max="15884" width="7.875" style="1" customWidth="1"/>
    <col min="15885" max="15885" width="17.375" style="1" customWidth="1"/>
    <col min="15886" max="15886" width="14.625" style="1" customWidth="1"/>
    <col min="15887" max="15887" width="8.5" style="1" customWidth="1"/>
    <col min="15888" max="15888" width="11" style="1"/>
    <col min="15889" max="15889" width="10.125" style="1" bestFit="1" customWidth="1"/>
    <col min="15890" max="16128" width="11" style="1"/>
    <col min="16129" max="16129" width="16" style="1" customWidth="1"/>
    <col min="16130" max="16130" width="49.625" style="1" customWidth="1"/>
    <col min="16131" max="16131" width="15.25" style="1" customWidth="1"/>
    <col min="16132" max="16138" width="14.625" style="1" customWidth="1"/>
    <col min="16139" max="16139" width="0" style="1" hidden="1" customWidth="1"/>
    <col min="16140" max="16140" width="7.875" style="1" customWidth="1"/>
    <col min="16141" max="16141" width="17.375" style="1" customWidth="1"/>
    <col min="16142" max="16142" width="14.625" style="1" customWidth="1"/>
    <col min="16143" max="16143" width="8.5" style="1" customWidth="1"/>
    <col min="16144" max="16144" width="11" style="1"/>
    <col min="16145" max="16145" width="10.125" style="1" bestFit="1" customWidth="1"/>
    <col min="16146" max="16384" width="11" style="1"/>
  </cols>
  <sheetData>
    <row r="1" spans="1:15" ht="18" x14ac:dyDescent="0.2">
      <c r="A1" s="195" t="s">
        <v>0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</row>
    <row r="2" spans="1:15" ht="18" x14ac:dyDescent="0.25">
      <c r="A2" s="196" t="s">
        <v>1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</row>
    <row r="3" spans="1:15" ht="18" x14ac:dyDescent="0.25">
      <c r="A3" s="196" t="s">
        <v>122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</row>
    <row r="4" spans="1:15" ht="18.75" thickBot="1" x14ac:dyDescent="0.3">
      <c r="A4" s="2"/>
      <c r="B4" s="4"/>
      <c r="C4" s="4"/>
      <c r="D4" s="4"/>
      <c r="E4" s="6"/>
      <c r="F4" s="6"/>
      <c r="G4" s="4"/>
      <c r="H4" s="4"/>
      <c r="I4" s="4"/>
      <c r="J4" s="4"/>
      <c r="K4" s="4"/>
      <c r="L4" s="4"/>
      <c r="M4" s="5"/>
      <c r="N4" s="4"/>
      <c r="O4" s="3"/>
    </row>
    <row r="5" spans="1:15" ht="23.25" customHeight="1" x14ac:dyDescent="0.25">
      <c r="A5" s="47" t="s">
        <v>3</v>
      </c>
      <c r="B5" s="48" t="s">
        <v>4</v>
      </c>
      <c r="C5" s="49" t="s">
        <v>5</v>
      </c>
      <c r="D5" s="50" t="s">
        <v>6</v>
      </c>
      <c r="E5" s="51" t="s">
        <v>7</v>
      </c>
      <c r="F5" s="51" t="s">
        <v>8</v>
      </c>
      <c r="G5" s="49" t="s">
        <v>9</v>
      </c>
      <c r="H5" s="50" t="s">
        <v>10</v>
      </c>
      <c r="I5" s="51" t="s">
        <v>11</v>
      </c>
      <c r="J5" s="49" t="s">
        <v>12</v>
      </c>
      <c r="K5" s="50" t="s">
        <v>13</v>
      </c>
      <c r="L5" s="51" t="s">
        <v>14</v>
      </c>
      <c r="M5" s="52" t="s">
        <v>10</v>
      </c>
      <c r="N5" s="49" t="s">
        <v>15</v>
      </c>
      <c r="O5" s="53" t="s">
        <v>14</v>
      </c>
    </row>
    <row r="6" spans="1:15" ht="23.25" customHeight="1" thickBot="1" x14ac:dyDescent="0.3">
      <c r="A6" s="54"/>
      <c r="B6" s="55"/>
      <c r="C6" s="56" t="s">
        <v>16</v>
      </c>
      <c r="D6" s="57"/>
      <c r="E6" s="58"/>
      <c r="F6" s="58"/>
      <c r="G6" s="56" t="s">
        <v>8</v>
      </c>
      <c r="H6" s="57" t="s">
        <v>5</v>
      </c>
      <c r="I6" s="59" t="s">
        <v>17</v>
      </c>
      <c r="J6" s="56" t="s">
        <v>18</v>
      </c>
      <c r="K6" s="57" t="s">
        <v>19</v>
      </c>
      <c r="L6" s="59"/>
      <c r="M6" s="60" t="s">
        <v>19</v>
      </c>
      <c r="N6" s="56" t="s">
        <v>20</v>
      </c>
      <c r="O6" s="61"/>
    </row>
    <row r="7" spans="1:15" ht="15" x14ac:dyDescent="0.25">
      <c r="A7" s="7"/>
      <c r="B7" s="8"/>
      <c r="C7" s="9"/>
      <c r="D7" s="9"/>
      <c r="E7" s="10"/>
      <c r="F7" s="10"/>
      <c r="G7" s="9"/>
      <c r="H7" s="9"/>
      <c r="I7" s="11"/>
      <c r="J7" s="9"/>
      <c r="K7" s="9"/>
      <c r="L7" s="9"/>
      <c r="M7" s="12"/>
      <c r="N7" s="13"/>
      <c r="O7" s="14"/>
    </row>
    <row r="8" spans="1:15" s="77" customFormat="1" ht="27.75" customHeight="1" x14ac:dyDescent="0.2">
      <c r="A8" s="65" t="s">
        <v>21</v>
      </c>
      <c r="B8" s="76" t="s">
        <v>22</v>
      </c>
      <c r="C8" s="68">
        <f>C9+C10+C11+C12+C13+C14+C15+C16+C17</f>
        <v>647432879</v>
      </c>
      <c r="D8" s="68">
        <f>D9</f>
        <v>0</v>
      </c>
      <c r="E8" s="68">
        <f t="shared" ref="E8:K8" si="0">E9+E10+E11+E12+E13+E14+E15+E16+E17</f>
        <v>0</v>
      </c>
      <c r="F8" s="68">
        <f t="shared" si="0"/>
        <v>0</v>
      </c>
      <c r="G8" s="68">
        <f t="shared" si="0"/>
        <v>18900000</v>
      </c>
      <c r="H8" s="68">
        <f t="shared" si="0"/>
        <v>628532879</v>
      </c>
      <c r="I8" s="68">
        <f t="shared" si="0"/>
        <v>126337045</v>
      </c>
      <c r="J8" s="68">
        <f t="shared" si="0"/>
        <v>38390544.977760866</v>
      </c>
      <c r="K8" s="68">
        <f t="shared" si="0"/>
        <v>164727589.97776085</v>
      </c>
      <c r="L8" s="69">
        <f t="shared" ref="L8:L58" si="1">K8/H8</f>
        <v>0.26208269365294551</v>
      </c>
      <c r="M8" s="70">
        <f>M9+M10+M11+M12+M13+M14+M15+M16+M17</f>
        <v>164727589.97776085</v>
      </c>
      <c r="N8" s="68">
        <f>SUM(N9:N17)</f>
        <v>463805289.02223915</v>
      </c>
      <c r="O8" s="71">
        <f t="shared" ref="O8:O32" si="2">N8/H8</f>
        <v>0.73791730634705455</v>
      </c>
    </row>
    <row r="9" spans="1:15" ht="15" x14ac:dyDescent="0.25">
      <c r="A9" s="19" t="s">
        <v>23</v>
      </c>
      <c r="B9" s="20" t="s">
        <v>24</v>
      </c>
      <c r="C9" s="21">
        <v>491332879</v>
      </c>
      <c r="D9" s="22"/>
      <c r="E9" s="23"/>
      <c r="F9" s="36"/>
      <c r="G9" s="62">
        <v>18900000</v>
      </c>
      <c r="H9" s="21">
        <f>C9-D9+E9+F9-G9</f>
        <v>472432879</v>
      </c>
      <c r="I9" s="22">
        <f>ENERO!J9+FEBRERO!J9+MARZO!J9</f>
        <v>111436434</v>
      </c>
      <c r="J9" s="43">
        <f>36899453-428720</f>
        <v>36470733</v>
      </c>
      <c r="K9" s="21">
        <f>SUM(I9:J9)</f>
        <v>147907167</v>
      </c>
      <c r="L9" s="16">
        <f t="shared" si="1"/>
        <v>0.31307551522043831</v>
      </c>
      <c r="M9" s="25">
        <f t="shared" ref="M9:M57" si="3">J9+I9</f>
        <v>147907167</v>
      </c>
      <c r="N9" s="26">
        <f t="shared" ref="N9:N17" si="4">H9-K9</f>
        <v>324525712</v>
      </c>
      <c r="O9" s="18">
        <f t="shared" si="2"/>
        <v>0.68692448477956169</v>
      </c>
    </row>
    <row r="10" spans="1:15" ht="15" x14ac:dyDescent="0.25">
      <c r="A10" s="19" t="s">
        <v>25</v>
      </c>
      <c r="B10" s="20" t="s">
        <v>26</v>
      </c>
      <c r="C10" s="21">
        <v>0</v>
      </c>
      <c r="D10" s="22"/>
      <c r="E10" s="23"/>
      <c r="F10" s="36"/>
      <c r="G10" s="63"/>
      <c r="H10" s="21">
        <f t="shared" ref="H10:H21" si="5">C10-D10+E10+F10-G10</f>
        <v>0</v>
      </c>
      <c r="I10" s="22">
        <f>ENERO!J10+FEBRERO!J10+MARZO!J10</f>
        <v>0</v>
      </c>
      <c r="J10" s="22">
        <v>0</v>
      </c>
      <c r="K10" s="21">
        <f t="shared" ref="K10:K21" si="6">SUM(I10:J10)</f>
        <v>0</v>
      </c>
      <c r="L10" s="16">
        <v>0</v>
      </c>
      <c r="M10" s="25">
        <f t="shared" si="3"/>
        <v>0</v>
      </c>
      <c r="N10" s="26">
        <f t="shared" si="4"/>
        <v>0</v>
      </c>
      <c r="O10" s="18">
        <v>0</v>
      </c>
    </row>
    <row r="11" spans="1:15" ht="15" x14ac:dyDescent="0.25">
      <c r="A11" s="19" t="s">
        <v>27</v>
      </c>
      <c r="B11" s="20" t="s">
        <v>28</v>
      </c>
      <c r="C11" s="21">
        <v>2300000</v>
      </c>
      <c r="D11" s="22"/>
      <c r="E11" s="23"/>
      <c r="F11" s="36"/>
      <c r="G11" s="63"/>
      <c r="H11" s="21">
        <f t="shared" si="5"/>
        <v>2300000</v>
      </c>
      <c r="I11" s="22">
        <f>ENERO!J11+FEBRERO!J11+MARZO!J11</f>
        <v>233100</v>
      </c>
      <c r="J11" s="22">
        <f>83140+16320</f>
        <v>99460</v>
      </c>
      <c r="K11" s="21">
        <f t="shared" si="6"/>
        <v>332560</v>
      </c>
      <c r="L11" s="16">
        <f t="shared" si="1"/>
        <v>0.14459130434782608</v>
      </c>
      <c r="M11" s="25">
        <f t="shared" si="3"/>
        <v>332560</v>
      </c>
      <c r="N11" s="26">
        <f t="shared" si="4"/>
        <v>1967440</v>
      </c>
      <c r="O11" s="18">
        <f t="shared" si="2"/>
        <v>0.85540869565217392</v>
      </c>
    </row>
    <row r="12" spans="1:15" ht="15.75" customHeight="1" x14ac:dyDescent="0.25">
      <c r="A12" s="19" t="s">
        <v>29</v>
      </c>
      <c r="B12" s="20" t="s">
        <v>30</v>
      </c>
      <c r="C12" s="21">
        <v>1800000</v>
      </c>
      <c r="D12" s="22"/>
      <c r="E12" s="23"/>
      <c r="F12" s="36"/>
      <c r="G12" s="63"/>
      <c r="H12" s="21">
        <f t="shared" si="5"/>
        <v>1800000</v>
      </c>
      <c r="I12" s="22">
        <f>ENERO!J12+FEBRERO!J12+MARZO!J12</f>
        <v>321804</v>
      </c>
      <c r="J12" s="22">
        <v>107268</v>
      </c>
      <c r="K12" s="21">
        <f t="shared" si="6"/>
        <v>429072</v>
      </c>
      <c r="L12" s="16">
        <f t="shared" si="1"/>
        <v>0.23837333333333333</v>
      </c>
      <c r="M12" s="25">
        <f t="shared" si="3"/>
        <v>429072</v>
      </c>
      <c r="N12" s="26">
        <f t="shared" si="4"/>
        <v>1370928</v>
      </c>
      <c r="O12" s="18">
        <f t="shared" si="2"/>
        <v>0.76162666666666667</v>
      </c>
    </row>
    <row r="13" spans="1:15" ht="15" x14ac:dyDescent="0.25">
      <c r="A13" s="19" t="s">
        <v>31</v>
      </c>
      <c r="B13" s="20" t="s">
        <v>32</v>
      </c>
      <c r="C13" s="21">
        <v>15000000</v>
      </c>
      <c r="D13" s="22"/>
      <c r="E13" s="23"/>
      <c r="F13" s="36"/>
      <c r="G13" s="63"/>
      <c r="H13" s="21">
        <f t="shared" si="5"/>
        <v>15000000</v>
      </c>
      <c r="I13" s="22">
        <f>ENERO!J13+FEBRERO!J13+MARZO!J13</f>
        <v>2361251</v>
      </c>
      <c r="J13" s="43">
        <v>242020</v>
      </c>
      <c r="K13" s="21">
        <f t="shared" si="6"/>
        <v>2603271</v>
      </c>
      <c r="L13" s="16">
        <f t="shared" si="1"/>
        <v>0.17355139999999999</v>
      </c>
      <c r="M13" s="25">
        <f t="shared" si="3"/>
        <v>2603271</v>
      </c>
      <c r="N13" s="26">
        <f t="shared" si="4"/>
        <v>12396729</v>
      </c>
      <c r="O13" s="18">
        <f t="shared" si="2"/>
        <v>0.82644859999999998</v>
      </c>
    </row>
    <row r="14" spans="1:15" ht="15" x14ac:dyDescent="0.25">
      <c r="A14" s="19" t="s">
        <v>33</v>
      </c>
      <c r="B14" s="20" t="s">
        <v>34</v>
      </c>
      <c r="C14" s="21">
        <v>22000000</v>
      </c>
      <c r="D14" s="22"/>
      <c r="E14" s="23"/>
      <c r="F14" s="36"/>
      <c r="G14" s="63"/>
      <c r="H14" s="21">
        <f t="shared" si="5"/>
        <v>22000000</v>
      </c>
      <c r="I14" s="22">
        <f>ENERO!J14+FEBRERO!J14+MARZO!J14</f>
        <v>1381336</v>
      </c>
      <c r="J14" s="44">
        <v>533739</v>
      </c>
      <c r="K14" s="21">
        <f t="shared" si="6"/>
        <v>1915075</v>
      </c>
      <c r="L14" s="16">
        <f t="shared" si="1"/>
        <v>8.7048863636363633E-2</v>
      </c>
      <c r="M14" s="25">
        <f t="shared" si="3"/>
        <v>1915075</v>
      </c>
      <c r="N14" s="26">
        <f t="shared" si="4"/>
        <v>20084925</v>
      </c>
      <c r="O14" s="18">
        <f t="shared" si="2"/>
        <v>0.91295113636363634</v>
      </c>
    </row>
    <row r="15" spans="1:15" ht="15" x14ac:dyDescent="0.25">
      <c r="A15" s="19" t="s">
        <v>35</v>
      </c>
      <c r="B15" s="20" t="s">
        <v>36</v>
      </c>
      <c r="C15" s="21">
        <v>33000000</v>
      </c>
      <c r="D15" s="22"/>
      <c r="E15" s="23"/>
      <c r="F15" s="36"/>
      <c r="G15" s="63"/>
      <c r="H15" s="21">
        <f t="shared" si="5"/>
        <v>33000000</v>
      </c>
      <c r="I15" s="22">
        <f>ENERO!J15+FEBRERO!J15+MARZO!J15</f>
        <v>3437929</v>
      </c>
      <c r="J15" s="43">
        <v>370652</v>
      </c>
      <c r="K15" s="21">
        <f t="shared" si="6"/>
        <v>3808581</v>
      </c>
      <c r="L15" s="16">
        <f t="shared" si="1"/>
        <v>0.11541154545454546</v>
      </c>
      <c r="M15" s="25">
        <f t="shared" si="3"/>
        <v>3808581</v>
      </c>
      <c r="N15" s="26">
        <f t="shared" si="4"/>
        <v>29191419</v>
      </c>
      <c r="O15" s="18">
        <f t="shared" si="2"/>
        <v>0.88458845454545454</v>
      </c>
    </row>
    <row r="16" spans="1:15" ht="15" x14ac:dyDescent="0.25">
      <c r="A16" s="28">
        <v>2020110109</v>
      </c>
      <c r="B16" s="20" t="s">
        <v>37</v>
      </c>
      <c r="C16" s="21">
        <v>38000000</v>
      </c>
      <c r="D16" s="22"/>
      <c r="E16" s="23"/>
      <c r="F16" s="36"/>
      <c r="G16" s="63"/>
      <c r="H16" s="21">
        <f t="shared" si="5"/>
        <v>38000000</v>
      </c>
      <c r="I16" s="22">
        <f>ENERO!J16+FEBRERO!J16+MARZO!J16</f>
        <v>6810265</v>
      </c>
      <c r="J16" s="43">
        <v>566672.97776086617</v>
      </c>
      <c r="K16" s="21">
        <f>SUM(I16:J16)</f>
        <v>7376937.9777608663</v>
      </c>
      <c r="L16" s="16">
        <f t="shared" si="1"/>
        <v>0.19412994678318068</v>
      </c>
      <c r="M16" s="25">
        <f t="shared" si="3"/>
        <v>7376937.9777608663</v>
      </c>
      <c r="N16" s="26">
        <f t="shared" si="4"/>
        <v>30623062.022239134</v>
      </c>
      <c r="O16" s="18">
        <f t="shared" si="2"/>
        <v>0.80587005321681926</v>
      </c>
    </row>
    <row r="17" spans="1:15" ht="15" x14ac:dyDescent="0.25">
      <c r="A17" s="28">
        <v>2020110108</v>
      </c>
      <c r="B17" s="20" t="s">
        <v>38</v>
      </c>
      <c r="C17" s="21">
        <v>44000000</v>
      </c>
      <c r="D17" s="22"/>
      <c r="E17" s="23"/>
      <c r="F17" s="36"/>
      <c r="G17" s="63"/>
      <c r="H17" s="21">
        <f t="shared" si="5"/>
        <v>44000000</v>
      </c>
      <c r="I17" s="22">
        <f>ENERO!J17+FEBRERO!J17+MARZO!J17</f>
        <v>354926</v>
      </c>
      <c r="J17" s="43"/>
      <c r="K17" s="21">
        <f t="shared" si="6"/>
        <v>354926</v>
      </c>
      <c r="L17" s="16">
        <f t="shared" si="1"/>
        <v>8.0665000000000008E-3</v>
      </c>
      <c r="M17" s="25">
        <f t="shared" si="3"/>
        <v>354926</v>
      </c>
      <c r="N17" s="26">
        <f t="shared" si="4"/>
        <v>43645074</v>
      </c>
      <c r="O17" s="18">
        <f t="shared" si="2"/>
        <v>0.99193350000000002</v>
      </c>
    </row>
    <row r="18" spans="1:15" s="72" customFormat="1" ht="27.75" customHeight="1" x14ac:dyDescent="0.2">
      <c r="A18" s="65" t="s">
        <v>39</v>
      </c>
      <c r="B18" s="76" t="s">
        <v>40</v>
      </c>
      <c r="C18" s="73">
        <f>C19+C20+C21</f>
        <v>20000000</v>
      </c>
      <c r="D18" s="74">
        <v>0</v>
      </c>
      <c r="E18" s="68">
        <f t="shared" ref="E18:K18" si="7">E19+E20+E21</f>
        <v>0</v>
      </c>
      <c r="F18" s="74">
        <f t="shared" si="7"/>
        <v>0</v>
      </c>
      <c r="G18" s="68">
        <f t="shared" si="7"/>
        <v>0</v>
      </c>
      <c r="H18" s="74">
        <f t="shared" si="5"/>
        <v>20000000</v>
      </c>
      <c r="I18" s="74">
        <f>ENERO!J18+FEBRERO!J18</f>
        <v>18000000</v>
      </c>
      <c r="J18" s="68">
        <f t="shared" si="7"/>
        <v>0</v>
      </c>
      <c r="K18" s="68">
        <f t="shared" si="7"/>
        <v>18000000</v>
      </c>
      <c r="L18" s="69">
        <f t="shared" si="1"/>
        <v>0.9</v>
      </c>
      <c r="M18" s="70">
        <f>M19+M20+M21</f>
        <v>18000000</v>
      </c>
      <c r="N18" s="75">
        <f>SUM(N19:N21)</f>
        <v>2000000</v>
      </c>
      <c r="O18" s="71">
        <f t="shared" si="2"/>
        <v>0.1</v>
      </c>
    </row>
    <row r="19" spans="1:15" ht="15" x14ac:dyDescent="0.25">
      <c r="A19" s="19" t="s">
        <v>41</v>
      </c>
      <c r="B19" s="30" t="s">
        <v>42</v>
      </c>
      <c r="C19" s="31">
        <v>20000000</v>
      </c>
      <c r="D19" s="22"/>
      <c r="E19" s="23"/>
      <c r="F19" s="36"/>
      <c r="G19" s="63"/>
      <c r="H19" s="21">
        <f t="shared" si="5"/>
        <v>20000000</v>
      </c>
      <c r="I19" s="22">
        <f>ENERO!J19+FEBRERO!J19+MARZO!J19</f>
        <v>18000000</v>
      </c>
      <c r="J19" s="22">
        <v>0</v>
      </c>
      <c r="K19" s="21">
        <f t="shared" si="6"/>
        <v>18000000</v>
      </c>
      <c r="L19" s="16">
        <f t="shared" si="1"/>
        <v>0.9</v>
      </c>
      <c r="M19" s="25">
        <f t="shared" si="3"/>
        <v>18000000</v>
      </c>
      <c r="N19" s="26">
        <f>H19-K19</f>
        <v>2000000</v>
      </c>
      <c r="O19" s="18">
        <f t="shared" si="2"/>
        <v>0.1</v>
      </c>
    </row>
    <row r="20" spans="1:15" ht="15" x14ac:dyDescent="0.25">
      <c r="A20" s="19" t="s">
        <v>43</v>
      </c>
      <c r="B20" s="20" t="s">
        <v>44</v>
      </c>
      <c r="C20" s="32">
        <v>0</v>
      </c>
      <c r="D20" s="22"/>
      <c r="E20" s="23"/>
      <c r="F20" s="36"/>
      <c r="G20" s="63"/>
      <c r="H20" s="21">
        <f t="shared" si="5"/>
        <v>0</v>
      </c>
      <c r="I20" s="22">
        <f>ENERO!J20+FEBRERO!J20+MARZO!J20</f>
        <v>0</v>
      </c>
      <c r="J20" s="22">
        <v>0</v>
      </c>
      <c r="K20" s="21">
        <f t="shared" si="6"/>
        <v>0</v>
      </c>
      <c r="L20" s="16">
        <v>0</v>
      </c>
      <c r="M20" s="25">
        <f t="shared" si="3"/>
        <v>0</v>
      </c>
      <c r="N20" s="26">
        <f>H20-K20</f>
        <v>0</v>
      </c>
      <c r="O20" s="18">
        <v>0</v>
      </c>
    </row>
    <row r="21" spans="1:15" ht="15" x14ac:dyDescent="0.25">
      <c r="A21" s="19" t="s">
        <v>45</v>
      </c>
      <c r="B21" s="33" t="s">
        <v>46</v>
      </c>
      <c r="C21" s="31">
        <v>0</v>
      </c>
      <c r="D21" s="22"/>
      <c r="E21" s="23"/>
      <c r="F21" s="36"/>
      <c r="G21" s="63"/>
      <c r="H21" s="21">
        <f t="shared" si="5"/>
        <v>0</v>
      </c>
      <c r="I21" s="22">
        <f>ENERO!J21+FEBRERO!J21+MARZO!J21</f>
        <v>0</v>
      </c>
      <c r="J21" s="27">
        <v>0</v>
      </c>
      <c r="K21" s="21">
        <f t="shared" si="6"/>
        <v>0</v>
      </c>
      <c r="L21" s="16">
        <v>0</v>
      </c>
      <c r="M21" s="25">
        <f t="shared" si="3"/>
        <v>0</v>
      </c>
      <c r="N21" s="26">
        <f>H21-K21</f>
        <v>0</v>
      </c>
      <c r="O21" s="18">
        <v>0</v>
      </c>
    </row>
    <row r="22" spans="1:15" s="72" customFormat="1" ht="27.75" customHeight="1" x14ac:dyDescent="0.2">
      <c r="A22" s="65" t="s">
        <v>47</v>
      </c>
      <c r="B22" s="66" t="s">
        <v>48</v>
      </c>
      <c r="C22" s="67">
        <f>C23+C24+C25+C26</f>
        <v>26200000</v>
      </c>
      <c r="D22" s="68">
        <v>0</v>
      </c>
      <c r="E22" s="68">
        <f t="shared" ref="E22:K22" si="8">E23+E24+E25+E26</f>
        <v>0</v>
      </c>
      <c r="F22" s="68">
        <f t="shared" si="8"/>
        <v>0</v>
      </c>
      <c r="G22" s="68">
        <f t="shared" si="8"/>
        <v>5000000</v>
      </c>
      <c r="H22" s="68">
        <f t="shared" si="8"/>
        <v>21200000</v>
      </c>
      <c r="I22" s="68">
        <f t="shared" si="8"/>
        <v>3599640</v>
      </c>
      <c r="J22" s="68">
        <f t="shared" si="8"/>
        <v>14035000</v>
      </c>
      <c r="K22" s="68">
        <f t="shared" si="8"/>
        <v>17634640</v>
      </c>
      <c r="L22" s="69">
        <f t="shared" si="1"/>
        <v>0.83182264150943397</v>
      </c>
      <c r="M22" s="70">
        <f t="shared" si="3"/>
        <v>17634640</v>
      </c>
      <c r="N22" s="68">
        <f>SUM(N23:N26)</f>
        <v>3565360</v>
      </c>
      <c r="O22" s="71">
        <f t="shared" si="2"/>
        <v>0.16817735849056603</v>
      </c>
    </row>
    <row r="23" spans="1:15" ht="15" x14ac:dyDescent="0.25">
      <c r="A23" s="19" t="s">
        <v>49</v>
      </c>
      <c r="B23" s="33" t="s">
        <v>50</v>
      </c>
      <c r="C23" s="31">
        <v>0</v>
      </c>
      <c r="D23" s="22"/>
      <c r="E23" s="23"/>
      <c r="F23" s="36"/>
      <c r="G23" s="63"/>
      <c r="H23" s="21">
        <f>C23-D23+E23+F23-G23</f>
        <v>0</v>
      </c>
      <c r="I23" s="22">
        <f>ENERO!J23+FEBRERO!J23+MARZO!J23</f>
        <v>0</v>
      </c>
      <c r="J23" s="27">
        <v>0</v>
      </c>
      <c r="K23" s="21">
        <f t="shared" ref="K23:K57" si="9">SUM(I23:J23)</f>
        <v>0</v>
      </c>
      <c r="L23" s="16">
        <v>0</v>
      </c>
      <c r="M23" s="17">
        <f t="shared" si="3"/>
        <v>0</v>
      </c>
      <c r="N23" s="26">
        <f>H23-K23</f>
        <v>0</v>
      </c>
      <c r="O23" s="18">
        <v>0</v>
      </c>
    </row>
    <row r="24" spans="1:15" ht="15" x14ac:dyDescent="0.25">
      <c r="A24" s="19" t="s">
        <v>51</v>
      </c>
      <c r="B24" s="34" t="s">
        <v>52</v>
      </c>
      <c r="C24" s="31">
        <v>25000000</v>
      </c>
      <c r="D24" s="22"/>
      <c r="E24" s="23"/>
      <c r="F24" s="36"/>
      <c r="G24" s="63">
        <v>5000000</v>
      </c>
      <c r="H24" s="21">
        <f>C24-D24+E24+F24-G24</f>
        <v>20000000</v>
      </c>
      <c r="I24" s="22">
        <f>ENERO!J24+FEBRERO!J24+MARZO!J24</f>
        <v>3599640</v>
      </c>
      <c r="J24" s="22">
        <v>14035000</v>
      </c>
      <c r="K24" s="21">
        <f t="shared" si="9"/>
        <v>17634640</v>
      </c>
      <c r="L24" s="16">
        <f t="shared" si="1"/>
        <v>0.88173199999999996</v>
      </c>
      <c r="M24" s="25">
        <f t="shared" si="3"/>
        <v>17634640</v>
      </c>
      <c r="N24" s="26">
        <f>H24-K24</f>
        <v>2365360</v>
      </c>
      <c r="O24" s="35">
        <f t="shared" si="2"/>
        <v>0.118268</v>
      </c>
    </row>
    <row r="25" spans="1:15" ht="15" x14ac:dyDescent="0.25">
      <c r="A25" s="19" t="s">
        <v>53</v>
      </c>
      <c r="B25" s="33" t="s">
        <v>54</v>
      </c>
      <c r="C25" s="32">
        <v>1200000</v>
      </c>
      <c r="D25" s="22"/>
      <c r="E25" s="23"/>
      <c r="F25" s="36"/>
      <c r="G25" s="64"/>
      <c r="H25" s="21">
        <f>C25-D25+E25+F25-G25</f>
        <v>1200000</v>
      </c>
      <c r="I25" s="22">
        <f>ENERO!J25+FEBRERO!J25+MARZO!J25</f>
        <v>0</v>
      </c>
      <c r="J25" s="22">
        <v>0</v>
      </c>
      <c r="K25" s="21">
        <f t="shared" si="9"/>
        <v>0</v>
      </c>
      <c r="L25" s="16">
        <f t="shared" si="1"/>
        <v>0</v>
      </c>
      <c r="M25" s="17">
        <f t="shared" si="3"/>
        <v>0</v>
      </c>
      <c r="N25" s="26">
        <f>H25-K25</f>
        <v>1200000</v>
      </c>
      <c r="O25" s="35">
        <f t="shared" si="2"/>
        <v>1</v>
      </c>
    </row>
    <row r="26" spans="1:15" ht="15" x14ac:dyDescent="0.25">
      <c r="A26" s="19" t="s">
        <v>55</v>
      </c>
      <c r="B26" s="33" t="s">
        <v>56</v>
      </c>
      <c r="C26" s="32">
        <v>0</v>
      </c>
      <c r="D26" s="22"/>
      <c r="E26" s="23"/>
      <c r="F26" s="36"/>
      <c r="G26" s="63"/>
      <c r="H26" s="21">
        <f>C26-D26+E26+F26-G26</f>
        <v>0</v>
      </c>
      <c r="I26" s="22">
        <f>ENERO!J26+FEBRERO!J26+MARZO!J26</f>
        <v>0</v>
      </c>
      <c r="J26" s="22">
        <v>0</v>
      </c>
      <c r="K26" s="21">
        <f t="shared" si="9"/>
        <v>0</v>
      </c>
      <c r="L26" s="16">
        <v>0</v>
      </c>
      <c r="M26" s="17">
        <f t="shared" si="3"/>
        <v>0</v>
      </c>
      <c r="N26" s="26">
        <f>H26-K26</f>
        <v>0</v>
      </c>
      <c r="O26" s="35">
        <v>0</v>
      </c>
    </row>
    <row r="27" spans="1:15" s="72" customFormat="1" ht="27.75" customHeight="1" x14ac:dyDescent="0.2">
      <c r="A27" s="65" t="s">
        <v>57</v>
      </c>
      <c r="B27" s="66" t="s">
        <v>58</v>
      </c>
      <c r="C27" s="73">
        <f>C28+C29+C30+C31+C32+C33+C34+C35+C36+C37+C38+C39+C40+C41</f>
        <v>119922165</v>
      </c>
      <c r="D27" s="74">
        <v>0</v>
      </c>
      <c r="E27" s="68">
        <f t="shared" ref="E27:J27" si="10">E28+E29+E30+E31+E32+E33+E34+E35+E36+E37+E38+E39+E40+E41</f>
        <v>0</v>
      </c>
      <c r="F27" s="74">
        <f t="shared" si="10"/>
        <v>37500000</v>
      </c>
      <c r="G27" s="68">
        <f t="shared" si="10"/>
        <v>13600000</v>
      </c>
      <c r="H27" s="68">
        <f t="shared" si="10"/>
        <v>143822165</v>
      </c>
      <c r="I27" s="68">
        <f t="shared" si="10"/>
        <v>70331338</v>
      </c>
      <c r="J27" s="68">
        <f t="shared" si="10"/>
        <v>14818982</v>
      </c>
      <c r="K27" s="68">
        <f>K28+K29+K30+K31+K32+K33+K34+K35+K36+K37+K38+K39+K40</f>
        <v>85150320</v>
      </c>
      <c r="L27" s="69">
        <f t="shared" si="1"/>
        <v>0.5920528313560014</v>
      </c>
      <c r="M27" s="70">
        <f>M28+M29+M30+M31+M32+M33+M34+M35+M36+M37+M38+M39+M40+M41</f>
        <v>85150320</v>
      </c>
      <c r="N27" s="75">
        <f>SUM(N28:N41)</f>
        <v>58671845</v>
      </c>
      <c r="O27" s="71">
        <f t="shared" si="2"/>
        <v>0.40794716864399866</v>
      </c>
    </row>
    <row r="28" spans="1:15" ht="15" x14ac:dyDescent="0.25">
      <c r="A28" s="19" t="s">
        <v>59</v>
      </c>
      <c r="B28" s="33" t="s">
        <v>60</v>
      </c>
      <c r="C28" s="31">
        <v>10000000</v>
      </c>
      <c r="D28" s="22"/>
      <c r="E28" s="23"/>
      <c r="F28" s="36">
        <v>2500000</v>
      </c>
      <c r="G28" s="63"/>
      <c r="H28" s="21">
        <f t="shared" ref="H28:H41" si="11">C28-D28+E28+F28-G28</f>
        <v>12500000</v>
      </c>
      <c r="I28" s="22">
        <f>ENERO!J28+FEBRERO!J28+MARZO!J28</f>
        <v>10686891</v>
      </c>
      <c r="J28" s="22">
        <f>1710000-100000</f>
        <v>1610000</v>
      </c>
      <c r="K28" s="21">
        <f t="shared" si="9"/>
        <v>12296891</v>
      </c>
      <c r="L28" s="16">
        <f t="shared" si="1"/>
        <v>0.98375128000000001</v>
      </c>
      <c r="M28" s="25">
        <f t="shared" si="3"/>
        <v>12296891</v>
      </c>
      <c r="N28" s="26">
        <f t="shared" ref="N28:N39" si="12">H28-K28</f>
        <v>203109</v>
      </c>
      <c r="O28" s="35">
        <f t="shared" si="2"/>
        <v>1.6248720000000001E-2</v>
      </c>
    </row>
    <row r="29" spans="1:15" ht="15" x14ac:dyDescent="0.25">
      <c r="A29" s="19" t="s">
        <v>61</v>
      </c>
      <c r="B29" s="33" t="s">
        <v>62</v>
      </c>
      <c r="C29" s="31">
        <v>25000000</v>
      </c>
      <c r="D29" s="22"/>
      <c r="E29" s="23"/>
      <c r="F29" s="36">
        <f>30000000+5000000</f>
        <v>35000000</v>
      </c>
      <c r="G29" s="63"/>
      <c r="H29" s="21">
        <f t="shared" si="11"/>
        <v>60000000</v>
      </c>
      <c r="I29" s="22">
        <f>ENERO!J29+FEBRERO!J29+MARZO!J29</f>
        <v>45596910</v>
      </c>
      <c r="J29" s="22">
        <f>11392733-500</f>
        <v>11392233</v>
      </c>
      <c r="K29" s="21">
        <f t="shared" si="9"/>
        <v>56989143</v>
      </c>
      <c r="L29" s="16">
        <f t="shared" si="1"/>
        <v>0.94981905</v>
      </c>
      <c r="M29" s="25">
        <f>J29+I29</f>
        <v>56989143</v>
      </c>
      <c r="N29" s="26">
        <f t="shared" si="12"/>
        <v>3010857</v>
      </c>
      <c r="O29" s="35">
        <f t="shared" si="2"/>
        <v>5.0180950000000002E-2</v>
      </c>
    </row>
    <row r="30" spans="1:15" ht="15" x14ac:dyDescent="0.25">
      <c r="A30" s="19" t="s">
        <v>63</v>
      </c>
      <c r="B30" s="33" t="s">
        <v>64</v>
      </c>
      <c r="C30" s="31">
        <v>4400000</v>
      </c>
      <c r="D30" s="22"/>
      <c r="E30" s="23"/>
      <c r="F30" s="36"/>
      <c r="G30" s="63"/>
      <c r="H30" s="21">
        <f t="shared" si="11"/>
        <v>4400000</v>
      </c>
      <c r="I30" s="22">
        <f>ENERO!J30+FEBRERO!J30+MARZO!J30</f>
        <v>1038000</v>
      </c>
      <c r="J30" s="43">
        <v>49000</v>
      </c>
      <c r="K30" s="21">
        <f t="shared" si="9"/>
        <v>1087000</v>
      </c>
      <c r="L30" s="16">
        <f t="shared" si="1"/>
        <v>0.24704545454545454</v>
      </c>
      <c r="M30" s="25">
        <f t="shared" si="3"/>
        <v>1087000</v>
      </c>
      <c r="N30" s="26">
        <f t="shared" si="12"/>
        <v>3313000</v>
      </c>
      <c r="O30" s="35">
        <f t="shared" si="2"/>
        <v>0.75295454545454543</v>
      </c>
    </row>
    <row r="31" spans="1:15" ht="15" x14ac:dyDescent="0.25">
      <c r="A31" s="19" t="s">
        <v>65</v>
      </c>
      <c r="B31" s="33" t="s">
        <v>66</v>
      </c>
      <c r="C31" s="32">
        <v>10000000</v>
      </c>
      <c r="D31" s="22"/>
      <c r="E31" s="23"/>
      <c r="F31" s="36"/>
      <c r="G31" s="63"/>
      <c r="H31" s="21">
        <f t="shared" si="11"/>
        <v>10000000</v>
      </c>
      <c r="I31" s="22">
        <f>ENERO!J31+FEBRERO!J31+MARZO!J31</f>
        <v>2766400</v>
      </c>
      <c r="J31" s="43">
        <v>1140000</v>
      </c>
      <c r="K31" s="21">
        <f t="shared" si="9"/>
        <v>3906400</v>
      </c>
      <c r="L31" s="16">
        <f t="shared" si="1"/>
        <v>0.39063999999999999</v>
      </c>
      <c r="M31" s="25">
        <f t="shared" si="3"/>
        <v>3906400</v>
      </c>
      <c r="N31" s="26">
        <f t="shared" si="12"/>
        <v>6093600</v>
      </c>
      <c r="O31" s="18">
        <f t="shared" si="2"/>
        <v>0.60936000000000001</v>
      </c>
    </row>
    <row r="32" spans="1:15" ht="15" x14ac:dyDescent="0.25">
      <c r="A32" s="19" t="s">
        <v>67</v>
      </c>
      <c r="B32" s="33" t="s">
        <v>68</v>
      </c>
      <c r="C32" s="32">
        <v>4800000</v>
      </c>
      <c r="D32" s="22"/>
      <c r="E32" s="23"/>
      <c r="F32" s="36"/>
      <c r="G32" s="63"/>
      <c r="H32" s="21">
        <f t="shared" si="11"/>
        <v>4800000</v>
      </c>
      <c r="I32" s="22">
        <f>ENERO!J32+FEBRERO!J32+MARZO!J32</f>
        <v>1587337</v>
      </c>
      <c r="J32" s="43">
        <v>507369</v>
      </c>
      <c r="K32" s="21">
        <f t="shared" si="9"/>
        <v>2094706</v>
      </c>
      <c r="L32" s="16">
        <f t="shared" si="1"/>
        <v>0.43639708333333332</v>
      </c>
      <c r="M32" s="25">
        <f t="shared" si="3"/>
        <v>2094706</v>
      </c>
      <c r="N32" s="26">
        <f t="shared" si="12"/>
        <v>2705294</v>
      </c>
      <c r="O32" s="18">
        <f t="shared" si="2"/>
        <v>0.56360291666666662</v>
      </c>
    </row>
    <row r="33" spans="1:17" ht="15" x14ac:dyDescent="0.25">
      <c r="A33" s="19" t="s">
        <v>69</v>
      </c>
      <c r="B33" s="33" t="s">
        <v>70</v>
      </c>
      <c r="C33" s="32">
        <v>3200000</v>
      </c>
      <c r="D33" s="22"/>
      <c r="E33" s="23"/>
      <c r="F33" s="36"/>
      <c r="G33" s="63"/>
      <c r="H33" s="21">
        <f t="shared" si="11"/>
        <v>3200000</v>
      </c>
      <c r="I33" s="22">
        <f>ENERO!J33+FEBRERO!J33+MARZO!J33</f>
        <v>303800</v>
      </c>
      <c r="J33" s="27">
        <v>120380</v>
      </c>
      <c r="K33" s="21">
        <f t="shared" si="9"/>
        <v>424180</v>
      </c>
      <c r="L33" s="16">
        <f t="shared" si="1"/>
        <v>0.13255624999999999</v>
      </c>
      <c r="M33" s="25">
        <f t="shared" si="3"/>
        <v>424180</v>
      </c>
      <c r="N33" s="26">
        <f t="shared" si="12"/>
        <v>2775820</v>
      </c>
      <c r="O33" s="18">
        <v>0</v>
      </c>
    </row>
    <row r="34" spans="1:17" ht="15" x14ac:dyDescent="0.25">
      <c r="A34" s="19" t="s">
        <v>71</v>
      </c>
      <c r="B34" s="34" t="s">
        <v>72</v>
      </c>
      <c r="C34" s="32">
        <v>3822165</v>
      </c>
      <c r="D34" s="22"/>
      <c r="E34" s="23"/>
      <c r="F34" s="36"/>
      <c r="G34" s="63"/>
      <c r="H34" s="21">
        <f t="shared" si="11"/>
        <v>3822165</v>
      </c>
      <c r="I34" s="22">
        <f>ENERO!J34+FEBRERO!J34+MARZO!J34</f>
        <v>0</v>
      </c>
      <c r="J34" s="22">
        <v>0</v>
      </c>
      <c r="K34" s="21">
        <f t="shared" si="9"/>
        <v>0</v>
      </c>
      <c r="L34" s="16">
        <f t="shared" si="1"/>
        <v>0</v>
      </c>
      <c r="M34" s="25">
        <f t="shared" si="3"/>
        <v>0</v>
      </c>
      <c r="N34" s="26">
        <f t="shared" si="12"/>
        <v>3822165</v>
      </c>
      <c r="O34" s="18">
        <f t="shared" ref="O34:O58" si="13">N34/H34</f>
        <v>1</v>
      </c>
    </row>
    <row r="35" spans="1:17" ht="15" x14ac:dyDescent="0.25">
      <c r="A35" s="19" t="s">
        <v>73</v>
      </c>
      <c r="B35" s="33" t="s">
        <v>74</v>
      </c>
      <c r="C35" s="32">
        <v>0</v>
      </c>
      <c r="D35" s="22"/>
      <c r="E35" s="23"/>
      <c r="F35" s="38"/>
      <c r="G35" s="63"/>
      <c r="H35" s="21">
        <f t="shared" si="11"/>
        <v>0</v>
      </c>
      <c r="I35" s="22">
        <f>ENERO!J35+FEBRERO!J35+MARZO!J35</f>
        <v>0</v>
      </c>
      <c r="J35" s="22">
        <v>0</v>
      </c>
      <c r="K35" s="21">
        <f t="shared" si="9"/>
        <v>0</v>
      </c>
      <c r="L35" s="16">
        <v>0</v>
      </c>
      <c r="M35" s="25">
        <f t="shared" si="3"/>
        <v>0</v>
      </c>
      <c r="N35" s="26">
        <f t="shared" si="12"/>
        <v>0</v>
      </c>
      <c r="O35" s="18">
        <v>0</v>
      </c>
    </row>
    <row r="36" spans="1:17" ht="15" x14ac:dyDescent="0.25">
      <c r="A36" s="19" t="s">
        <v>75</v>
      </c>
      <c r="B36" s="33" t="s">
        <v>76</v>
      </c>
      <c r="C36" s="32">
        <v>11000000</v>
      </c>
      <c r="D36" s="22"/>
      <c r="E36" s="23"/>
      <c r="F36" s="36"/>
      <c r="G36" s="63">
        <v>3600000</v>
      </c>
      <c r="H36" s="21">
        <f t="shared" si="11"/>
        <v>7400000</v>
      </c>
      <c r="I36" s="22">
        <f>ENERO!J36+FEBRERO!J36+MARZO!J36</f>
        <v>7400000</v>
      </c>
      <c r="J36" s="45">
        <v>0</v>
      </c>
      <c r="K36" s="21">
        <f t="shared" si="9"/>
        <v>7400000</v>
      </c>
      <c r="L36" s="16">
        <f t="shared" si="1"/>
        <v>1</v>
      </c>
      <c r="M36" s="25">
        <f t="shared" si="3"/>
        <v>7400000</v>
      </c>
      <c r="N36" s="26">
        <f t="shared" si="12"/>
        <v>0</v>
      </c>
      <c r="O36" s="18">
        <f t="shared" si="13"/>
        <v>0</v>
      </c>
    </row>
    <row r="37" spans="1:17" ht="15" x14ac:dyDescent="0.25">
      <c r="A37" s="19" t="s">
        <v>77</v>
      </c>
      <c r="B37" s="34" t="s">
        <v>78</v>
      </c>
      <c r="C37" s="32">
        <v>20700000</v>
      </c>
      <c r="D37" s="22"/>
      <c r="E37" s="23"/>
      <c r="F37" s="36"/>
      <c r="G37" s="63">
        <v>10000000</v>
      </c>
      <c r="H37" s="21">
        <f t="shared" si="11"/>
        <v>10700000</v>
      </c>
      <c r="I37" s="22">
        <f>ENERO!J37+FEBRERO!J37+MARZO!J37</f>
        <v>0</v>
      </c>
      <c r="J37" s="45">
        <v>0</v>
      </c>
      <c r="K37" s="21">
        <f t="shared" si="9"/>
        <v>0</v>
      </c>
      <c r="L37" s="16">
        <f t="shared" si="1"/>
        <v>0</v>
      </c>
      <c r="M37" s="25">
        <f t="shared" si="3"/>
        <v>0</v>
      </c>
      <c r="N37" s="26">
        <f t="shared" si="12"/>
        <v>10700000</v>
      </c>
      <c r="O37" s="35">
        <f t="shared" si="13"/>
        <v>1</v>
      </c>
    </row>
    <row r="38" spans="1:17" ht="15" x14ac:dyDescent="0.25">
      <c r="A38" s="19" t="s">
        <v>79</v>
      </c>
      <c r="B38" s="33" t="s">
        <v>80</v>
      </c>
      <c r="C38" s="32">
        <v>3000000</v>
      </c>
      <c r="D38" s="22"/>
      <c r="E38" s="23"/>
      <c r="F38" s="36"/>
      <c r="G38" s="63"/>
      <c r="H38" s="21">
        <f t="shared" si="11"/>
        <v>3000000</v>
      </c>
      <c r="I38" s="22">
        <f>ENERO!J38+FEBRERO!J38+MARZO!J38</f>
        <v>952000</v>
      </c>
      <c r="J38" s="45">
        <v>0</v>
      </c>
      <c r="K38" s="21">
        <f t="shared" si="9"/>
        <v>952000</v>
      </c>
      <c r="L38" s="16">
        <f t="shared" si="1"/>
        <v>0.31733333333333336</v>
      </c>
      <c r="M38" s="25">
        <f t="shared" si="3"/>
        <v>952000</v>
      </c>
      <c r="N38" s="26">
        <f t="shared" si="12"/>
        <v>2048000</v>
      </c>
      <c r="O38" s="35">
        <f t="shared" si="13"/>
        <v>0.68266666666666664</v>
      </c>
    </row>
    <row r="39" spans="1:17" ht="15" x14ac:dyDescent="0.25">
      <c r="A39" s="19" t="s">
        <v>81</v>
      </c>
      <c r="B39" s="33" t="s">
        <v>82</v>
      </c>
      <c r="C39" s="32">
        <v>20000000</v>
      </c>
      <c r="D39" s="22"/>
      <c r="E39" s="23"/>
      <c r="F39" s="36"/>
      <c r="G39" s="63"/>
      <c r="H39" s="21">
        <f t="shared" si="11"/>
        <v>20000000</v>
      </c>
      <c r="I39" s="22">
        <f>ENERO!J39+FEBRERO!J39+MARZO!J39</f>
        <v>0</v>
      </c>
      <c r="J39" s="22">
        <v>0</v>
      </c>
      <c r="K39" s="21">
        <f t="shared" si="9"/>
        <v>0</v>
      </c>
      <c r="L39" s="16">
        <f t="shared" si="1"/>
        <v>0</v>
      </c>
      <c r="M39" s="25">
        <f t="shared" si="3"/>
        <v>0</v>
      </c>
      <c r="N39" s="26">
        <f t="shared" si="12"/>
        <v>20000000</v>
      </c>
      <c r="O39" s="18">
        <f t="shared" si="13"/>
        <v>1</v>
      </c>
    </row>
    <row r="40" spans="1:17" ht="15" x14ac:dyDescent="0.25">
      <c r="A40" s="19" t="s">
        <v>83</v>
      </c>
      <c r="B40" s="33" t="s">
        <v>84</v>
      </c>
      <c r="C40" s="32">
        <v>4000000</v>
      </c>
      <c r="D40" s="22"/>
      <c r="E40" s="23"/>
      <c r="F40" s="36"/>
      <c r="G40" s="63"/>
      <c r="H40" s="21">
        <f t="shared" si="11"/>
        <v>4000000</v>
      </c>
      <c r="I40" s="22">
        <f>ENERO!J40+FEBRERO!J40+MARZO!J40</f>
        <v>0</v>
      </c>
      <c r="J40" s="22">
        <v>0</v>
      </c>
      <c r="K40" s="21">
        <f t="shared" si="9"/>
        <v>0</v>
      </c>
      <c r="L40" s="16">
        <f>K40/H40</f>
        <v>0</v>
      </c>
      <c r="M40" s="25">
        <f t="shared" si="3"/>
        <v>0</v>
      </c>
      <c r="N40" s="26">
        <f>H40-K40</f>
        <v>4000000</v>
      </c>
      <c r="O40" s="18">
        <f t="shared" si="13"/>
        <v>1</v>
      </c>
    </row>
    <row r="41" spans="1:17" ht="15" x14ac:dyDescent="0.25">
      <c r="A41" s="19" t="s">
        <v>85</v>
      </c>
      <c r="B41" s="33" t="s">
        <v>86</v>
      </c>
      <c r="C41" s="32">
        <v>0</v>
      </c>
      <c r="D41" s="22"/>
      <c r="E41" s="23"/>
      <c r="F41" s="36"/>
      <c r="G41" s="63"/>
      <c r="H41" s="21">
        <f t="shared" si="11"/>
        <v>0</v>
      </c>
      <c r="I41" s="22">
        <f>ENERO!J41+FEBRERO!J41+MARZO!J41</f>
        <v>0</v>
      </c>
      <c r="J41" s="22">
        <v>0</v>
      </c>
      <c r="K41" s="21">
        <f t="shared" si="9"/>
        <v>0</v>
      </c>
      <c r="L41" s="16">
        <v>0</v>
      </c>
      <c r="M41" s="25">
        <f t="shared" si="3"/>
        <v>0</v>
      </c>
      <c r="N41" s="26">
        <f>H41-K41</f>
        <v>0</v>
      </c>
      <c r="O41" s="18">
        <v>0</v>
      </c>
    </row>
    <row r="42" spans="1:17" s="72" customFormat="1" ht="27.75" customHeight="1" x14ac:dyDescent="0.2">
      <c r="A42" s="65" t="s">
        <v>87</v>
      </c>
      <c r="B42" s="82" t="s">
        <v>88</v>
      </c>
      <c r="C42" s="73">
        <f>C43+C44+C45+C46</f>
        <v>115800000</v>
      </c>
      <c r="D42" s="74">
        <v>0</v>
      </c>
      <c r="E42" s="68">
        <f t="shared" ref="E42:K42" si="14">E43+E44+E45+E46</f>
        <v>0</v>
      </c>
      <c r="F42" s="74">
        <f t="shared" si="14"/>
        <v>0</v>
      </c>
      <c r="G42" s="68">
        <f t="shared" si="14"/>
        <v>0</v>
      </c>
      <c r="H42" s="68">
        <f t="shared" si="14"/>
        <v>115800000</v>
      </c>
      <c r="I42" s="68">
        <f t="shared" si="14"/>
        <v>26051401</v>
      </c>
      <c r="J42" s="68">
        <f t="shared" si="14"/>
        <v>8558894</v>
      </c>
      <c r="K42" s="68">
        <f t="shared" si="14"/>
        <v>34610295</v>
      </c>
      <c r="L42" s="69">
        <f t="shared" si="1"/>
        <v>0.29887992227979276</v>
      </c>
      <c r="M42" s="70">
        <f t="shared" si="3"/>
        <v>34610295</v>
      </c>
      <c r="N42" s="75">
        <f>SUM(N43:N46)</f>
        <v>81189705</v>
      </c>
      <c r="O42" s="71">
        <f t="shared" si="13"/>
        <v>0.70112007772020724</v>
      </c>
    </row>
    <row r="43" spans="1:17" ht="15" x14ac:dyDescent="0.25">
      <c r="A43" s="19" t="s">
        <v>89</v>
      </c>
      <c r="B43" s="33" t="s">
        <v>90</v>
      </c>
      <c r="C43" s="21">
        <v>33000000</v>
      </c>
      <c r="D43" s="22"/>
      <c r="E43" s="23"/>
      <c r="F43" s="36"/>
      <c r="G43" s="63"/>
      <c r="H43" s="21">
        <f>C43-D43+E43+F43-G43</f>
        <v>33000000</v>
      </c>
      <c r="I43" s="22">
        <f>ENERO!J43+FEBRERO!J43+MARZO!J43</f>
        <v>2092310</v>
      </c>
      <c r="J43" s="44"/>
      <c r="K43" s="21">
        <f t="shared" si="9"/>
        <v>2092310</v>
      </c>
      <c r="L43" s="16">
        <f t="shared" si="1"/>
        <v>6.3403333333333339E-2</v>
      </c>
      <c r="M43" s="25">
        <f t="shared" si="3"/>
        <v>2092310</v>
      </c>
      <c r="N43" s="26">
        <f>H43-K43</f>
        <v>30907690</v>
      </c>
      <c r="O43" s="18">
        <f t="shared" si="13"/>
        <v>0.93659666666666663</v>
      </c>
    </row>
    <row r="44" spans="1:17" ht="15" x14ac:dyDescent="0.25">
      <c r="A44" s="19" t="s">
        <v>91</v>
      </c>
      <c r="B44" s="33" t="s">
        <v>92</v>
      </c>
      <c r="C44" s="21">
        <v>38000000</v>
      </c>
      <c r="D44" s="22"/>
      <c r="E44" s="23"/>
      <c r="F44" s="36"/>
      <c r="G44" s="63"/>
      <c r="H44" s="21">
        <f>C44-D44+E44+F44-G44</f>
        <v>38000000</v>
      </c>
      <c r="I44" s="22">
        <f>ENERO!J44+FEBRERO!J44+MARZO!J44</f>
        <v>10102629</v>
      </c>
      <c r="J44" s="43">
        <f>3137123-114228</f>
        <v>3022895</v>
      </c>
      <c r="K44" s="21">
        <f t="shared" si="9"/>
        <v>13125524</v>
      </c>
      <c r="L44" s="16">
        <f t="shared" si="1"/>
        <v>0.3454085263157895</v>
      </c>
      <c r="M44" s="25">
        <f t="shared" si="3"/>
        <v>13125524</v>
      </c>
      <c r="N44" s="26">
        <f>H44-K44</f>
        <v>24874476</v>
      </c>
      <c r="O44" s="18">
        <f t="shared" si="13"/>
        <v>0.65459147368421056</v>
      </c>
      <c r="Q44" s="37"/>
    </row>
    <row r="45" spans="1:17" ht="15" x14ac:dyDescent="0.25">
      <c r="A45" s="28">
        <v>2020110304</v>
      </c>
      <c r="B45" s="33" t="s">
        <v>93</v>
      </c>
      <c r="C45" s="21">
        <v>36800000</v>
      </c>
      <c r="D45" s="22"/>
      <c r="E45" s="23"/>
      <c r="F45" s="36"/>
      <c r="G45" s="63"/>
      <c r="H45" s="21">
        <f>C45-D45+E45+F45-G45</f>
        <v>36800000</v>
      </c>
      <c r="I45" s="22">
        <f>ENERO!J45+FEBRERO!J45+MARZO!J45</f>
        <v>13292950</v>
      </c>
      <c r="J45" s="43">
        <f>4647723+888276</f>
        <v>5535999</v>
      </c>
      <c r="K45" s="21">
        <f t="shared" si="9"/>
        <v>18828949</v>
      </c>
      <c r="L45" s="16">
        <f t="shared" si="1"/>
        <v>0.51165622282608691</v>
      </c>
      <c r="M45" s="25">
        <f t="shared" si="3"/>
        <v>18828949</v>
      </c>
      <c r="N45" s="26">
        <f>H45-K45</f>
        <v>17971051</v>
      </c>
      <c r="O45" s="18">
        <f t="shared" si="13"/>
        <v>0.48834377717391303</v>
      </c>
      <c r="Q45" s="37"/>
    </row>
    <row r="46" spans="1:17" ht="15" x14ac:dyDescent="0.25">
      <c r="A46" s="28">
        <v>2020110305</v>
      </c>
      <c r="B46" s="33" t="s">
        <v>94</v>
      </c>
      <c r="C46" s="21">
        <v>8000000</v>
      </c>
      <c r="D46" s="15"/>
      <c r="E46" s="23"/>
      <c r="F46" s="36"/>
      <c r="G46" s="46"/>
      <c r="H46" s="21">
        <f>C46-D46+E46+F46-G46</f>
        <v>8000000</v>
      </c>
      <c r="I46" s="22">
        <f>ENERO!J46+FEBRERO!J46+MARZO!J46</f>
        <v>563512</v>
      </c>
      <c r="J46" s="21"/>
      <c r="K46" s="21">
        <f t="shared" si="9"/>
        <v>563512</v>
      </c>
      <c r="L46" s="16">
        <f t="shared" si="1"/>
        <v>7.0439000000000002E-2</v>
      </c>
      <c r="M46" s="25">
        <f t="shared" si="3"/>
        <v>563512</v>
      </c>
      <c r="N46" s="26">
        <f>H46-K46</f>
        <v>7436488</v>
      </c>
      <c r="O46" s="18">
        <f t="shared" si="13"/>
        <v>0.92956099999999997</v>
      </c>
      <c r="Q46" s="37"/>
    </row>
    <row r="47" spans="1:17" s="72" customFormat="1" ht="27.75" customHeight="1" x14ac:dyDescent="0.2">
      <c r="A47" s="65" t="s">
        <v>95</v>
      </c>
      <c r="B47" s="83" t="s">
        <v>96</v>
      </c>
      <c r="C47" s="73">
        <f>C48+C49+C50+C51+C52+C53+C54+C55+C56+C57</f>
        <v>100800000</v>
      </c>
      <c r="D47" s="74">
        <v>0</v>
      </c>
      <c r="E47" s="74">
        <f>E48</f>
        <v>0</v>
      </c>
      <c r="F47" s="68">
        <f>F48+F49+F50+F51+F52+F53+F54+F55+F56+F57</f>
        <v>0</v>
      </c>
      <c r="G47" s="74"/>
      <c r="H47" s="68">
        <f>H48+H49+H50+H51+H52+H53+H54+H55+H56+H57</f>
        <v>100800000</v>
      </c>
      <c r="I47" s="68">
        <f>I48+I49+I50+I51+I52+I53+I54+I55+I56+I57</f>
        <v>15699300</v>
      </c>
      <c r="J47" s="68">
        <f>J48+J49+J50+J51+J52+J53+J54+J55+J56+J57</f>
        <v>3585000</v>
      </c>
      <c r="K47" s="68">
        <f t="shared" si="9"/>
        <v>19284300</v>
      </c>
      <c r="L47" s="69">
        <f t="shared" si="1"/>
        <v>0.1913125</v>
      </c>
      <c r="M47" s="70">
        <f t="shared" si="3"/>
        <v>19284300</v>
      </c>
      <c r="N47" s="75">
        <f>SUM(N48:N57)</f>
        <v>81515700</v>
      </c>
      <c r="O47" s="71">
        <f t="shared" si="13"/>
        <v>0.8086875</v>
      </c>
      <c r="Q47" s="79"/>
    </row>
    <row r="48" spans="1:17" ht="15" x14ac:dyDescent="0.25">
      <c r="A48" s="78" t="s">
        <v>97</v>
      </c>
      <c r="B48" s="33" t="s">
        <v>98</v>
      </c>
      <c r="C48" s="31">
        <v>21000000</v>
      </c>
      <c r="D48" s="22"/>
      <c r="E48" s="23"/>
      <c r="F48" s="36"/>
      <c r="G48" s="63"/>
      <c r="H48" s="21">
        <f t="shared" ref="H48:H57" si="15">C48-D48+E48+F48-G48</f>
        <v>21000000</v>
      </c>
      <c r="I48" s="22">
        <f>ENERO!J48+FEBRERO!J48+MARZO!J48</f>
        <v>4435100</v>
      </c>
      <c r="J48" s="27"/>
      <c r="K48" s="21">
        <f t="shared" si="9"/>
        <v>4435100</v>
      </c>
      <c r="L48" s="16">
        <f t="shared" si="1"/>
        <v>0.2111952380952381</v>
      </c>
      <c r="M48" s="25">
        <f t="shared" si="3"/>
        <v>4435100</v>
      </c>
      <c r="N48" s="26">
        <f t="shared" ref="N48:N57" si="16">H48-K48</f>
        <v>16564900</v>
      </c>
      <c r="O48" s="18">
        <f t="shared" si="13"/>
        <v>0.7888047619047619</v>
      </c>
      <c r="Q48" s="37"/>
    </row>
    <row r="49" spans="1:17" ht="15" x14ac:dyDescent="0.25">
      <c r="A49" s="19" t="s">
        <v>99</v>
      </c>
      <c r="B49" s="33" t="s">
        <v>92</v>
      </c>
      <c r="C49" s="31">
        <v>0</v>
      </c>
      <c r="D49" s="22"/>
      <c r="E49" s="23"/>
      <c r="F49" s="36"/>
      <c r="G49" s="63"/>
      <c r="H49" s="21">
        <f t="shared" si="15"/>
        <v>0</v>
      </c>
      <c r="I49" s="22">
        <f>ENERO!J49+FEBRERO!J49+MARZO!J49</f>
        <v>0</v>
      </c>
      <c r="J49" s="22"/>
      <c r="K49" s="21">
        <f t="shared" si="9"/>
        <v>0</v>
      </c>
      <c r="L49" s="16">
        <v>0</v>
      </c>
      <c r="M49" s="17">
        <f t="shared" si="3"/>
        <v>0</v>
      </c>
      <c r="N49" s="26">
        <f t="shared" si="16"/>
        <v>0</v>
      </c>
      <c r="O49" s="18">
        <v>0</v>
      </c>
      <c r="Q49" s="37"/>
    </row>
    <row r="50" spans="1:17" ht="15" x14ac:dyDescent="0.25">
      <c r="A50" s="19" t="s">
        <v>100</v>
      </c>
      <c r="B50" s="33" t="s">
        <v>101</v>
      </c>
      <c r="C50" s="31">
        <v>3000000</v>
      </c>
      <c r="D50" s="22"/>
      <c r="E50" s="23"/>
      <c r="F50" s="36"/>
      <c r="G50" s="63"/>
      <c r="H50" s="21">
        <f t="shared" si="15"/>
        <v>3000000</v>
      </c>
      <c r="I50" s="22">
        <f>ENERO!J50+FEBRERO!J50+MARZO!J50</f>
        <v>754800</v>
      </c>
      <c r="J50" s="43">
        <v>250300</v>
      </c>
      <c r="K50" s="21">
        <f t="shared" si="9"/>
        <v>1005100</v>
      </c>
      <c r="L50" s="16">
        <f t="shared" si="1"/>
        <v>0.33503333333333335</v>
      </c>
      <c r="M50" s="25">
        <f t="shared" si="3"/>
        <v>1005100</v>
      </c>
      <c r="N50" s="26">
        <f t="shared" si="16"/>
        <v>1994900</v>
      </c>
      <c r="O50" s="18">
        <f t="shared" si="13"/>
        <v>0.66496666666666671</v>
      </c>
      <c r="Q50" s="37"/>
    </row>
    <row r="51" spans="1:17" ht="15" x14ac:dyDescent="0.25">
      <c r="A51" s="19" t="s">
        <v>102</v>
      </c>
      <c r="B51" s="33" t="s">
        <v>93</v>
      </c>
      <c r="C51" s="32">
        <v>22000000</v>
      </c>
      <c r="D51" s="22"/>
      <c r="E51" s="23"/>
      <c r="F51" s="36"/>
      <c r="G51" s="63"/>
      <c r="H51" s="21">
        <f t="shared" si="15"/>
        <v>22000000</v>
      </c>
      <c r="I51" s="22">
        <f>ENERO!J51+FEBRERO!J51+MARZO!J51</f>
        <v>0</v>
      </c>
      <c r="J51" s="39">
        <v>0</v>
      </c>
      <c r="K51" s="21">
        <f t="shared" si="9"/>
        <v>0</v>
      </c>
      <c r="L51" s="16">
        <f t="shared" si="1"/>
        <v>0</v>
      </c>
      <c r="M51" s="25">
        <f t="shared" si="3"/>
        <v>0</v>
      </c>
      <c r="N51" s="26">
        <f t="shared" si="16"/>
        <v>22000000</v>
      </c>
      <c r="O51" s="18">
        <f t="shared" si="13"/>
        <v>1</v>
      </c>
      <c r="Q51" s="37"/>
    </row>
    <row r="52" spans="1:17" ht="15" x14ac:dyDescent="0.25">
      <c r="A52" s="19" t="s">
        <v>103</v>
      </c>
      <c r="B52" s="33" t="s">
        <v>104</v>
      </c>
      <c r="C52" s="32">
        <v>23000000</v>
      </c>
      <c r="D52" s="22"/>
      <c r="E52" s="23"/>
      <c r="F52" s="36"/>
      <c r="G52" s="63"/>
      <c r="H52" s="21">
        <f t="shared" si="15"/>
        <v>23000000</v>
      </c>
      <c r="I52" s="22">
        <f>ENERO!J52+FEBRERO!J52+MARZO!J52</f>
        <v>4700800</v>
      </c>
      <c r="J52" s="43">
        <f>1476400+100</f>
        <v>1476500</v>
      </c>
      <c r="K52" s="21">
        <f t="shared" si="9"/>
        <v>6177300</v>
      </c>
      <c r="L52" s="16">
        <f t="shared" si="1"/>
        <v>0.26857826086956521</v>
      </c>
      <c r="M52" s="25">
        <f t="shared" si="3"/>
        <v>6177300</v>
      </c>
      <c r="N52" s="26">
        <f t="shared" si="16"/>
        <v>16822700</v>
      </c>
      <c r="O52" s="18">
        <f t="shared" si="13"/>
        <v>0.73142173913043473</v>
      </c>
      <c r="Q52" s="37"/>
    </row>
    <row r="53" spans="1:17" ht="15" x14ac:dyDescent="0.25">
      <c r="A53" s="19" t="s">
        <v>105</v>
      </c>
      <c r="B53" s="33" t="s">
        <v>106</v>
      </c>
      <c r="C53" s="32">
        <v>19800000</v>
      </c>
      <c r="D53" s="22"/>
      <c r="E53" s="23"/>
      <c r="F53" s="36"/>
      <c r="G53" s="63"/>
      <c r="H53" s="21">
        <f t="shared" si="15"/>
        <v>19800000</v>
      </c>
      <c r="I53" s="22">
        <f>ENERO!J53+FEBRERO!J53+MARZO!J53</f>
        <v>3525500</v>
      </c>
      <c r="J53" s="43">
        <v>1107700</v>
      </c>
      <c r="K53" s="21">
        <f t="shared" si="9"/>
        <v>4633200</v>
      </c>
      <c r="L53" s="16">
        <f t="shared" si="1"/>
        <v>0.23400000000000001</v>
      </c>
      <c r="M53" s="25">
        <f t="shared" si="3"/>
        <v>4633200</v>
      </c>
      <c r="N53" s="26">
        <f t="shared" si="16"/>
        <v>15166800</v>
      </c>
      <c r="O53" s="18">
        <f t="shared" si="13"/>
        <v>0.76600000000000001</v>
      </c>
      <c r="Q53" s="37"/>
    </row>
    <row r="54" spans="1:17" ht="15" x14ac:dyDescent="0.25">
      <c r="A54" s="19" t="s">
        <v>107</v>
      </c>
      <c r="B54" s="33" t="s">
        <v>108</v>
      </c>
      <c r="C54" s="32">
        <v>3000000</v>
      </c>
      <c r="D54" s="22"/>
      <c r="E54" s="23"/>
      <c r="F54" s="36"/>
      <c r="G54" s="63"/>
      <c r="H54" s="21">
        <f t="shared" si="15"/>
        <v>3000000</v>
      </c>
      <c r="I54" s="22">
        <f>ENERO!J54+FEBRERO!J54+MARZO!J54</f>
        <v>568800</v>
      </c>
      <c r="J54" s="43">
        <v>185200</v>
      </c>
      <c r="K54" s="21">
        <f t="shared" si="9"/>
        <v>754000</v>
      </c>
      <c r="L54" s="16">
        <f t="shared" si="1"/>
        <v>0.25133333333333335</v>
      </c>
      <c r="M54" s="25">
        <f t="shared" si="3"/>
        <v>754000</v>
      </c>
      <c r="N54" s="26">
        <f t="shared" si="16"/>
        <v>2246000</v>
      </c>
      <c r="O54" s="18">
        <f t="shared" si="13"/>
        <v>0.7486666666666667</v>
      </c>
      <c r="Q54" s="37"/>
    </row>
    <row r="55" spans="1:17" ht="15" x14ac:dyDescent="0.25">
      <c r="A55" s="19" t="s">
        <v>109</v>
      </c>
      <c r="B55" s="33" t="s">
        <v>110</v>
      </c>
      <c r="C55" s="32">
        <v>3000000</v>
      </c>
      <c r="D55" s="22"/>
      <c r="E55" s="23"/>
      <c r="F55" s="36"/>
      <c r="G55" s="63"/>
      <c r="H55" s="21">
        <f t="shared" si="15"/>
        <v>3000000</v>
      </c>
      <c r="I55" s="22">
        <f>ENERO!J55+FEBRERO!J55+MARZO!J55</f>
        <v>577800</v>
      </c>
      <c r="J55" s="43">
        <f>185200+10400</f>
        <v>195600</v>
      </c>
      <c r="K55" s="21">
        <f t="shared" si="9"/>
        <v>773400</v>
      </c>
      <c r="L55" s="16">
        <f t="shared" si="1"/>
        <v>0.25779999999999997</v>
      </c>
      <c r="M55" s="25">
        <f t="shared" si="3"/>
        <v>773400</v>
      </c>
      <c r="N55" s="26">
        <f t="shared" si="16"/>
        <v>2226600</v>
      </c>
      <c r="O55" s="18">
        <f t="shared" si="13"/>
        <v>0.74219999999999997</v>
      </c>
      <c r="Q55" s="37"/>
    </row>
    <row r="56" spans="1:17" ht="15" x14ac:dyDescent="0.25">
      <c r="A56" s="19" t="s">
        <v>111</v>
      </c>
      <c r="B56" s="33" t="s">
        <v>112</v>
      </c>
      <c r="C56" s="32">
        <v>6000000</v>
      </c>
      <c r="D56" s="22"/>
      <c r="E56" s="23"/>
      <c r="F56" s="36"/>
      <c r="G56" s="63"/>
      <c r="H56" s="21">
        <f t="shared" si="15"/>
        <v>6000000</v>
      </c>
      <c r="I56" s="22">
        <f>ENERO!J56+FEBRERO!J56+MARZO!J56</f>
        <v>1136500</v>
      </c>
      <c r="J56" s="43">
        <v>369700</v>
      </c>
      <c r="K56" s="21">
        <f t="shared" si="9"/>
        <v>1506200</v>
      </c>
      <c r="L56" s="16">
        <f t="shared" si="1"/>
        <v>0.25103333333333333</v>
      </c>
      <c r="M56" s="25">
        <f t="shared" si="3"/>
        <v>1506200</v>
      </c>
      <c r="N56" s="26">
        <f t="shared" si="16"/>
        <v>4493800</v>
      </c>
      <c r="O56" s="18">
        <f t="shared" si="13"/>
        <v>0.74896666666666667</v>
      </c>
      <c r="Q56" s="37"/>
    </row>
    <row r="57" spans="1:17" ht="15" x14ac:dyDescent="0.25">
      <c r="A57" s="19" t="s">
        <v>113</v>
      </c>
      <c r="B57" s="33" t="s">
        <v>114</v>
      </c>
      <c r="C57" s="32"/>
      <c r="D57" s="22"/>
      <c r="E57" s="23"/>
      <c r="F57" s="36"/>
      <c r="G57" s="63"/>
      <c r="H57" s="21">
        <f t="shared" si="15"/>
        <v>0</v>
      </c>
      <c r="I57" s="22">
        <f>ENERO!J57+FEBRERO!J57+MARZO!J57</f>
        <v>0</v>
      </c>
      <c r="J57" s="22">
        <v>0</v>
      </c>
      <c r="K57" s="21">
        <f t="shared" si="9"/>
        <v>0</v>
      </c>
      <c r="L57" s="16">
        <v>0</v>
      </c>
      <c r="M57" s="17">
        <f t="shared" si="3"/>
        <v>0</v>
      </c>
      <c r="N57" s="26">
        <f t="shared" si="16"/>
        <v>0</v>
      </c>
      <c r="O57" s="18">
        <v>0</v>
      </c>
      <c r="Q57" s="37"/>
    </row>
    <row r="58" spans="1:17" s="80" customFormat="1" ht="31.5" customHeight="1" thickBot="1" x14ac:dyDescent="0.25">
      <c r="A58" s="81"/>
      <c r="B58" s="166" t="s">
        <v>115</v>
      </c>
      <c r="C58" s="171">
        <f>C47+C42+C27+C18+C22+C8</f>
        <v>1030155044</v>
      </c>
      <c r="D58" s="167">
        <f>D9+D47</f>
        <v>0</v>
      </c>
      <c r="E58" s="167">
        <f>E8+E18+E22+E27+E42</f>
        <v>0</v>
      </c>
      <c r="F58" s="167">
        <f>F47+F42+F27+F22+F18+F8</f>
        <v>37500000</v>
      </c>
      <c r="G58" s="167">
        <f>G47+G42+G27+G22+G18+G8</f>
        <v>37500000</v>
      </c>
      <c r="H58" s="167">
        <f>H8+H18+H22+H27+H42+H47</f>
        <v>1030155044</v>
      </c>
      <c r="I58" s="167">
        <f>I47+I42+I27+I22+I18+I8</f>
        <v>260018724</v>
      </c>
      <c r="J58" s="167">
        <f>J47+J42+J27+J22+J18+J8</f>
        <v>79388420.977760866</v>
      </c>
      <c r="K58" s="167">
        <f>K47+K42+K27+K22+K18+K8</f>
        <v>339407144.97776085</v>
      </c>
      <c r="L58" s="168">
        <f t="shared" si="1"/>
        <v>0.32947190518028552</v>
      </c>
      <c r="M58" s="169">
        <f>M47+M42+M27+M22+M18+M8</f>
        <v>339407144.97776085</v>
      </c>
      <c r="N58" s="167">
        <f>N47+N42+N27+N22+N18+N8</f>
        <v>690747899.02223921</v>
      </c>
      <c r="O58" s="170">
        <f t="shared" si="13"/>
        <v>0.67052809481971454</v>
      </c>
    </row>
    <row r="59" spans="1:17" ht="35.25" customHeight="1" thickBot="1" x14ac:dyDescent="0.3">
      <c r="A59" s="165" t="s">
        <v>118</v>
      </c>
      <c r="B59" s="192" t="s">
        <v>119</v>
      </c>
      <c r="C59" s="193"/>
      <c r="D59" s="193"/>
      <c r="E59" s="193"/>
      <c r="F59" s="193"/>
      <c r="G59" s="193"/>
      <c r="H59" s="193"/>
      <c r="I59" s="193"/>
      <c r="J59" s="193"/>
      <c r="K59" s="193"/>
      <c r="L59" s="193"/>
      <c r="M59" s="193"/>
      <c r="N59" s="193"/>
      <c r="O59" s="194"/>
      <c r="Q59" s="40"/>
    </row>
    <row r="60" spans="1:17" x14ac:dyDescent="0.2">
      <c r="K60" s="40"/>
    </row>
    <row r="61" spans="1:17" x14ac:dyDescent="0.2">
      <c r="G61" s="40">
        <f>G58-F58</f>
        <v>0</v>
      </c>
    </row>
    <row r="62" spans="1:17" x14ac:dyDescent="0.2">
      <c r="D62" s="40"/>
      <c r="F62" s="40"/>
      <c r="G62" s="40"/>
      <c r="K62" s="40"/>
      <c r="N62" s="40"/>
    </row>
    <row r="63" spans="1:17" x14ac:dyDescent="0.2">
      <c r="G63" s="40"/>
      <c r="I63" s="40"/>
      <c r="J63" s="42"/>
      <c r="N63" s="40"/>
    </row>
    <row r="64" spans="1:17" x14ac:dyDescent="0.2">
      <c r="D64" s="40"/>
      <c r="J64" s="40"/>
      <c r="L64" s="40"/>
      <c r="N64" s="40"/>
    </row>
    <row r="65" spans="8:14" x14ac:dyDescent="0.2">
      <c r="H65" s="40"/>
      <c r="J65" s="40"/>
      <c r="N65" s="40"/>
    </row>
    <row r="66" spans="8:14" x14ac:dyDescent="0.2">
      <c r="J66" s="40"/>
    </row>
  </sheetData>
  <mergeCells count="4">
    <mergeCell ref="A1:O1"/>
    <mergeCell ref="A2:O2"/>
    <mergeCell ref="A3:O3"/>
    <mergeCell ref="B59:O59"/>
  </mergeCells>
  <printOptions horizontalCentered="1" verticalCentered="1"/>
  <pageMargins left="0.23622047244094491" right="0.23622047244094491" top="0.39370078740157483" bottom="0.98425196850393704" header="0" footer="0"/>
  <pageSetup paperSize="14" scale="5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DICIEMBRE</vt:lpstr>
      <vt:lpstr>NOVIEMBRE</vt:lpstr>
      <vt:lpstr>OCTUBRE</vt:lpstr>
      <vt:lpstr>SEPTIEMBRE</vt:lpstr>
      <vt:lpstr>AGOSTO</vt:lpstr>
      <vt:lpstr>JULIO</vt:lpstr>
      <vt:lpstr>JUNIO</vt:lpstr>
      <vt:lpstr>MAYO</vt:lpstr>
      <vt:lpstr>ABRIL</vt:lpstr>
      <vt:lpstr>MARZO</vt:lpstr>
      <vt:lpstr>FEBRERO</vt:lpstr>
      <vt:lpstr>ENERO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HP</cp:lastModifiedBy>
  <cp:lastPrinted>2018-01-22T13:28:08Z</cp:lastPrinted>
  <dcterms:created xsi:type="dcterms:W3CDTF">2017-04-04T19:21:33Z</dcterms:created>
  <dcterms:modified xsi:type="dcterms:W3CDTF">2018-01-28T21:52:07Z</dcterms:modified>
</cp:coreProperties>
</file>